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20" windowHeight="9285" tabRatio="591" activeTab="0"/>
  </bookViews>
  <sheets>
    <sheet name="SPRINT HAIES" sheetId="1" r:id="rId1"/>
    <sheet name="DEMI FOND" sheetId="2" r:id="rId2"/>
    <sheet name="SAUT" sheetId="3" r:id="rId3"/>
    <sheet name="LANCER" sheetId="4" r:id="rId4"/>
  </sheets>
  <definedNames/>
  <calcPr fullCalcOnLoad="1"/>
</workbook>
</file>

<file path=xl/sharedStrings.xml><?xml version="1.0" encoding="utf-8"?>
<sst xmlns="http://schemas.openxmlformats.org/spreadsheetml/2006/main" count="1432" uniqueCount="437">
  <si>
    <t>BOVE</t>
  </si>
  <si>
    <t>DAUPHIN</t>
  </si>
  <si>
    <t>WONG</t>
  </si>
  <si>
    <t>TIMAU</t>
  </si>
  <si>
    <t>PETIOT</t>
  </si>
  <si>
    <t>LADA</t>
  </si>
  <si>
    <t>Mihiatea</t>
  </si>
  <si>
    <t>épr</t>
  </si>
  <si>
    <t>perf</t>
  </si>
  <si>
    <t>pts</t>
  </si>
  <si>
    <t>TUPAIA</t>
  </si>
  <si>
    <t>AORAI</t>
  </si>
  <si>
    <t>RICHER</t>
  </si>
  <si>
    <t>NEAGLE</t>
  </si>
  <si>
    <t>DOUCET</t>
  </si>
  <si>
    <t>POAREU</t>
  </si>
  <si>
    <t>FINK</t>
  </si>
  <si>
    <t>TEFANA</t>
  </si>
  <si>
    <t>long</t>
  </si>
  <si>
    <t>Haut</t>
  </si>
  <si>
    <t>ADAT</t>
  </si>
  <si>
    <t>PARISSE</t>
  </si>
  <si>
    <t>Perc</t>
  </si>
  <si>
    <t>bonus</t>
  </si>
  <si>
    <t>total avec bonus</t>
  </si>
  <si>
    <t>classement</t>
  </si>
  <si>
    <t>p1</t>
  </si>
  <si>
    <t>p2</t>
  </si>
  <si>
    <t>p3</t>
  </si>
  <si>
    <t>p4</t>
  </si>
  <si>
    <t>p5</t>
  </si>
  <si>
    <t>bonus 25 points par épreuves pour juniors filles</t>
  </si>
  <si>
    <t>rappel:bonus de 50points sur disque cadette</t>
  </si>
  <si>
    <t>bonus 25 points sur jav junior garçons</t>
  </si>
  <si>
    <t>TEIHOTAATA</t>
  </si>
  <si>
    <t>CH</t>
  </si>
  <si>
    <t>Aorai</t>
  </si>
  <si>
    <t xml:space="preserve">GOODING </t>
  </si>
  <si>
    <t>SF</t>
  </si>
  <si>
    <t>Central</t>
  </si>
  <si>
    <t>MATEO</t>
  </si>
  <si>
    <t>TEAUE</t>
  </si>
  <si>
    <t>JH</t>
  </si>
  <si>
    <t>KAHAIA</t>
  </si>
  <si>
    <t>LONG</t>
  </si>
  <si>
    <t>SIAO</t>
  </si>
  <si>
    <t>VAIORA</t>
  </si>
  <si>
    <t>CF</t>
  </si>
  <si>
    <t>VAINUI</t>
  </si>
  <si>
    <t>CASSANDRA</t>
  </si>
  <si>
    <t>JOHNSTON</t>
  </si>
  <si>
    <t>LYLEN</t>
  </si>
  <si>
    <t>MAS</t>
  </si>
  <si>
    <t>T.PUNARUU</t>
  </si>
  <si>
    <t>TIMONA</t>
  </si>
  <si>
    <t>FAAHU</t>
  </si>
  <si>
    <t>RANIHEI</t>
  </si>
  <si>
    <t>TAAE</t>
  </si>
  <si>
    <t>MOON</t>
  </si>
  <si>
    <t>SH</t>
  </si>
  <si>
    <t>RUBEN</t>
  </si>
  <si>
    <t>CENTRAL</t>
  </si>
  <si>
    <t>TRIP</t>
  </si>
  <si>
    <t>TAVAITAI</t>
  </si>
  <si>
    <t>ANAVAI</t>
  </si>
  <si>
    <t>BORELLI</t>
  </si>
  <si>
    <t>VAITEA</t>
  </si>
  <si>
    <t>VAIHINA</t>
  </si>
  <si>
    <t>CANDICE</t>
  </si>
  <si>
    <t>T. PUNARUU</t>
  </si>
  <si>
    <t>AVANAI</t>
  </si>
  <si>
    <t>EMA</t>
  </si>
  <si>
    <t>HUGUES</t>
  </si>
  <si>
    <t>CHARLES</t>
  </si>
  <si>
    <t>VIRGINIE</t>
  </si>
  <si>
    <t>BODIN</t>
  </si>
  <si>
    <t>CEDRIC</t>
  </si>
  <si>
    <t>RUBENS</t>
  </si>
  <si>
    <t>Teuraiterai</t>
  </si>
  <si>
    <t>FAAHAU</t>
  </si>
  <si>
    <t>Ranihei</t>
  </si>
  <si>
    <t>TARAIHAU</t>
  </si>
  <si>
    <t>BASTIEN</t>
  </si>
  <si>
    <t>VILLERMY</t>
  </si>
  <si>
    <t>JASON</t>
  </si>
  <si>
    <t>CHAVES</t>
  </si>
  <si>
    <t>FERNAND</t>
  </si>
  <si>
    <t>ARUE</t>
  </si>
  <si>
    <t>JACQUES</t>
  </si>
  <si>
    <t>ASCEP</t>
  </si>
  <si>
    <t xml:space="preserve">RAMOND </t>
  </si>
  <si>
    <t>GUY</t>
  </si>
  <si>
    <t>EVELYNE</t>
  </si>
  <si>
    <t>2,14,3</t>
  </si>
  <si>
    <t>SOSSEY-ALLAOUY</t>
  </si>
  <si>
    <t>LEOPOLD</t>
  </si>
  <si>
    <t>2,17,3</t>
  </si>
  <si>
    <t>URIMA</t>
  </si>
  <si>
    <t>TININIURA</t>
  </si>
  <si>
    <t>2,24,7</t>
  </si>
  <si>
    <t>SAMUEL</t>
  </si>
  <si>
    <t>2,37,2</t>
  </si>
  <si>
    <t>AMARU</t>
  </si>
  <si>
    <t>KALANI</t>
  </si>
  <si>
    <t>ESH</t>
  </si>
  <si>
    <t>ORLOW</t>
  </si>
  <si>
    <t>EVA</t>
  </si>
  <si>
    <t>2,37,7</t>
  </si>
  <si>
    <t>3,44,3</t>
  </si>
  <si>
    <t>KIANI</t>
  </si>
  <si>
    <t>JF</t>
  </si>
  <si>
    <t>MATHEO</t>
  </si>
  <si>
    <t>CHOUTEAU</t>
  </si>
  <si>
    <t>PAUL</t>
  </si>
  <si>
    <t>TAMA</t>
  </si>
  <si>
    <t>WINSY</t>
  </si>
  <si>
    <t>4,27,1</t>
  </si>
  <si>
    <t>4,28,5</t>
  </si>
  <si>
    <t>ARAGAW</t>
  </si>
  <si>
    <t>CHAUTEAU</t>
  </si>
  <si>
    <t>4,49,1</t>
  </si>
  <si>
    <t>NICOLAS</t>
  </si>
  <si>
    <t>JEAN-MARC</t>
  </si>
  <si>
    <t>ES/SEH</t>
  </si>
  <si>
    <t>5,08,1</t>
  </si>
  <si>
    <t>5,11,6</t>
  </si>
  <si>
    <t>TONNELLIER</t>
  </si>
  <si>
    <t>THIERRY</t>
  </si>
  <si>
    <t>SOULON</t>
  </si>
  <si>
    <t>MATHILDE</t>
  </si>
  <si>
    <t>5,15,7</t>
  </si>
  <si>
    <t>5,17,4</t>
  </si>
  <si>
    <t>MERE</t>
  </si>
  <si>
    <t>TEANUANUA</t>
  </si>
  <si>
    <t>5,23,2</t>
  </si>
  <si>
    <t>GOODING</t>
  </si>
  <si>
    <t>GILBERT</t>
  </si>
  <si>
    <t>MAH</t>
  </si>
  <si>
    <t>5,26,7</t>
  </si>
  <si>
    <t>5,27,4</t>
  </si>
  <si>
    <t>FRUTEAU</t>
  </si>
  <si>
    <t>BRUNO</t>
  </si>
  <si>
    <t>6,49,8</t>
  </si>
  <si>
    <t>8,12,9</t>
  </si>
  <si>
    <t>RAMOND</t>
  </si>
  <si>
    <t>MAF</t>
  </si>
  <si>
    <t>8,24,8</t>
  </si>
  <si>
    <t>AUBINEAU</t>
  </si>
  <si>
    <t>JANICK</t>
  </si>
  <si>
    <t>9,25,8</t>
  </si>
  <si>
    <t>YAO-THAM-SAO</t>
  </si>
  <si>
    <t>SIMON</t>
  </si>
  <si>
    <t>VERO</t>
  </si>
  <si>
    <t>LOKELANI</t>
  </si>
  <si>
    <t>SEF</t>
  </si>
  <si>
    <t>BRINKFIELD</t>
  </si>
  <si>
    <t>DOMINIQUE</t>
  </si>
  <si>
    <t>TEHEIURA</t>
  </si>
  <si>
    <t>THEODORE</t>
  </si>
  <si>
    <t>SEH</t>
  </si>
  <si>
    <t>4,55,7</t>
  </si>
  <si>
    <t>4,57,5</t>
  </si>
  <si>
    <t>GRAND</t>
  </si>
  <si>
    <t>POATA</t>
  </si>
  <si>
    <t>5,01,7</t>
  </si>
  <si>
    <t>CARINE</t>
  </si>
  <si>
    <t>5,08,2</t>
  </si>
  <si>
    <t>5,37,7</t>
  </si>
  <si>
    <t>8,09,1</t>
  </si>
  <si>
    <t>Poid</t>
  </si>
  <si>
    <t>POID</t>
  </si>
  <si>
    <t>CROCHEZ</t>
  </si>
  <si>
    <t>OCEANE</t>
  </si>
  <si>
    <t>ARNAULT</t>
  </si>
  <si>
    <t>JADE</t>
  </si>
  <si>
    <t>MARII</t>
  </si>
  <si>
    <t>VAIMITI</t>
  </si>
  <si>
    <t>JAV</t>
  </si>
  <si>
    <t>10,24,37</t>
  </si>
  <si>
    <t>CHEE-AYEE</t>
  </si>
  <si>
    <t>ARIIMOANA</t>
  </si>
  <si>
    <t>TEURAITERAI</t>
  </si>
  <si>
    <t>THOMPSON</t>
  </si>
  <si>
    <t>RAIARII</t>
  </si>
  <si>
    <t>Timona</t>
  </si>
  <si>
    <t>poids</t>
  </si>
  <si>
    <t>FROGIER</t>
  </si>
  <si>
    <t>SARRA</t>
  </si>
  <si>
    <t>TAURAA</t>
  </si>
  <si>
    <t>NOELLA</t>
  </si>
  <si>
    <t>4,58,83</t>
  </si>
  <si>
    <t>5,45,87</t>
  </si>
  <si>
    <t>8,05,28</t>
  </si>
  <si>
    <t>16,13,81</t>
  </si>
  <si>
    <t>LOISON</t>
  </si>
  <si>
    <t>MEHDI</t>
  </si>
  <si>
    <t>19,20,17</t>
  </si>
  <si>
    <t>GOBRAIT</t>
  </si>
  <si>
    <t>TOANUIMARAMA</t>
  </si>
  <si>
    <t>20,22,09</t>
  </si>
  <si>
    <t>JEAN-PIERRE</t>
  </si>
  <si>
    <t>20,49,43</t>
  </si>
  <si>
    <t>GARDON</t>
  </si>
  <si>
    <t>21,02,04</t>
  </si>
  <si>
    <t>ANDRES</t>
  </si>
  <si>
    <t>CHRISTIAN</t>
  </si>
  <si>
    <t>21,03,70</t>
  </si>
  <si>
    <t>FLEURE</t>
  </si>
  <si>
    <t>PIERRE</t>
  </si>
  <si>
    <t>21,08,44</t>
  </si>
  <si>
    <t>SOPHIE</t>
  </si>
  <si>
    <t>23,06,45</t>
  </si>
  <si>
    <t>24,34,69</t>
  </si>
  <si>
    <t>KERVELLA</t>
  </si>
  <si>
    <t>MOANA</t>
  </si>
  <si>
    <t>25,39,90</t>
  </si>
  <si>
    <t>33,38,93</t>
  </si>
  <si>
    <t>PER</t>
  </si>
  <si>
    <t>MADANI</t>
  </si>
  <si>
    <t>THEO</t>
  </si>
  <si>
    <t>DEGALLERY</t>
  </si>
  <si>
    <t>THAIS</t>
  </si>
  <si>
    <t>haut</t>
  </si>
  <si>
    <t>HAUT</t>
  </si>
  <si>
    <t>FABER</t>
  </si>
  <si>
    <t>TEAU</t>
  </si>
  <si>
    <t>MARUAKE</t>
  </si>
  <si>
    <t>BOULHOL</t>
  </si>
  <si>
    <t>ANTHONY</t>
  </si>
  <si>
    <t>AKA</t>
  </si>
  <si>
    <t>MIKE</t>
  </si>
  <si>
    <t>BARFF</t>
  </si>
  <si>
    <t>NOEL</t>
  </si>
  <si>
    <t>TATARATA</t>
  </si>
  <si>
    <t>MARAMA</t>
  </si>
  <si>
    <t>OLENDAREFF</t>
  </si>
  <si>
    <t>COLIN</t>
  </si>
  <si>
    <t>YVAN</t>
  </si>
  <si>
    <t>THOREL</t>
  </si>
  <si>
    <t>VARNEY</t>
  </si>
  <si>
    <t>HERERAVA</t>
  </si>
  <si>
    <t>TATAHIO</t>
  </si>
  <si>
    <t>ARIIRAU</t>
  </si>
  <si>
    <t>2,05,15</t>
  </si>
  <si>
    <t>2,09,59</t>
  </si>
  <si>
    <t>2,13,29</t>
  </si>
  <si>
    <t>TEMARII</t>
  </si>
  <si>
    <t>MOANATEA</t>
  </si>
  <si>
    <t>2,16,24</t>
  </si>
  <si>
    <t>2,27,47</t>
  </si>
  <si>
    <t>2,19,63</t>
  </si>
  <si>
    <t>2,39,68</t>
  </si>
  <si>
    <t>TUHOE</t>
  </si>
  <si>
    <t>MAUI</t>
  </si>
  <si>
    <t>2,40,07</t>
  </si>
  <si>
    <t>110H</t>
  </si>
  <si>
    <t>TRI</t>
  </si>
  <si>
    <t>DIS</t>
  </si>
  <si>
    <t>poid</t>
  </si>
  <si>
    <t>jav</t>
  </si>
  <si>
    <t>110h</t>
  </si>
  <si>
    <t>dis</t>
  </si>
  <si>
    <t>100h</t>
  </si>
  <si>
    <t>TERIIEROOITERAI</t>
  </si>
  <si>
    <t>ALBERTINE</t>
  </si>
  <si>
    <t>4,48,7</t>
  </si>
  <si>
    <t>4,54,6</t>
  </si>
  <si>
    <t>5,54,5</t>
  </si>
  <si>
    <t>11,27,4</t>
  </si>
  <si>
    <t>BOUCHONNET</t>
  </si>
  <si>
    <t>19,15,8</t>
  </si>
  <si>
    <t>OUIAZEM</t>
  </si>
  <si>
    <t>ABDERRAHMANE</t>
  </si>
  <si>
    <t>19,16,2</t>
  </si>
  <si>
    <t>HANNECART</t>
  </si>
  <si>
    <t>OLIVIER</t>
  </si>
  <si>
    <t>21,14,7</t>
  </si>
  <si>
    <t>RAOULX</t>
  </si>
  <si>
    <t>TAUARII</t>
  </si>
  <si>
    <t>21,44,1</t>
  </si>
  <si>
    <t>22,02,7</t>
  </si>
  <si>
    <t>24,02,6</t>
  </si>
  <si>
    <t>TAMANU</t>
  </si>
  <si>
    <t>24,03,0</t>
  </si>
  <si>
    <t>LI</t>
  </si>
  <si>
    <t>KEVIN</t>
  </si>
  <si>
    <t>24,34,8</t>
  </si>
  <si>
    <t>GARCIA</t>
  </si>
  <si>
    <t>KARIN</t>
  </si>
  <si>
    <t>25,27,7</t>
  </si>
  <si>
    <t>FORTUNE</t>
  </si>
  <si>
    <t>VF</t>
  </si>
  <si>
    <t>27,55,4</t>
  </si>
  <si>
    <t>TERIIEROOITRAIALBERTINE</t>
  </si>
  <si>
    <t>MASF</t>
  </si>
  <si>
    <t>tri</t>
  </si>
  <si>
    <t>100m</t>
  </si>
  <si>
    <t>per</t>
  </si>
  <si>
    <t>1,49,54</t>
  </si>
  <si>
    <t>1,33,34</t>
  </si>
  <si>
    <t>TAUMAA</t>
  </si>
  <si>
    <t>REGGIE</t>
  </si>
  <si>
    <t>TEPEA</t>
  </si>
  <si>
    <t>LUCIE</t>
  </si>
  <si>
    <t>JEAN-LUC</t>
  </si>
  <si>
    <t>MONTUCLARD</t>
  </si>
  <si>
    <t>AXEL</t>
  </si>
  <si>
    <t>%AH</t>
  </si>
  <si>
    <t>9,36,2</t>
  </si>
  <si>
    <t>9,38,2</t>
  </si>
  <si>
    <t xml:space="preserve">MARAETAATA </t>
  </si>
  <si>
    <t>Franky</t>
  </si>
  <si>
    <t>11,05,7</t>
  </si>
  <si>
    <t>11,13,5</t>
  </si>
  <si>
    <t>11,18,4</t>
  </si>
  <si>
    <t>MEVEL</t>
  </si>
  <si>
    <t>IAN</t>
  </si>
  <si>
    <t>11,42,3</t>
  </si>
  <si>
    <t>11,57,4</t>
  </si>
  <si>
    <t>12,24,1</t>
  </si>
  <si>
    <t>13,27,8</t>
  </si>
  <si>
    <t>LO?G</t>
  </si>
  <si>
    <t>Pts</t>
  </si>
  <si>
    <t>1,07,7</t>
  </si>
  <si>
    <t>1,03,3</t>
  </si>
  <si>
    <t>4,47,3</t>
  </si>
  <si>
    <t>trip</t>
  </si>
  <si>
    <t>disq</t>
  </si>
  <si>
    <t xml:space="preserve">ARNAUD </t>
  </si>
  <si>
    <t>Jade</t>
  </si>
  <si>
    <t>CROCHET</t>
  </si>
  <si>
    <t>Océane</t>
  </si>
  <si>
    <t>CHAUMETTE</t>
  </si>
  <si>
    <t>Hkehatua</t>
  </si>
  <si>
    <t>RUPERT</t>
  </si>
  <si>
    <t>ARNAUD</t>
  </si>
  <si>
    <t>MA</t>
  </si>
  <si>
    <t>2,24,22</t>
  </si>
  <si>
    <t>2,27,45</t>
  </si>
  <si>
    <t>diq 2</t>
  </si>
  <si>
    <t>perc</t>
  </si>
  <si>
    <t>FOLIAKI</t>
  </si>
  <si>
    <t>Makalea</t>
  </si>
  <si>
    <t>TEITAUIRA</t>
  </si>
  <si>
    <t>33,42,1</t>
  </si>
  <si>
    <t>DEGAGE</t>
  </si>
  <si>
    <t>TUTEA</t>
  </si>
  <si>
    <t>MA1H</t>
  </si>
  <si>
    <t>Tefana</t>
  </si>
  <si>
    <t>35,45,0</t>
  </si>
  <si>
    <t>CARCY</t>
  </si>
  <si>
    <t>MA2H</t>
  </si>
  <si>
    <t>36,52,9</t>
  </si>
  <si>
    <t>39,20,9</t>
  </si>
  <si>
    <t>40,27,4</t>
  </si>
  <si>
    <t xml:space="preserve">MENOU </t>
  </si>
  <si>
    <t>ELODIE</t>
  </si>
  <si>
    <t>MA1F</t>
  </si>
  <si>
    <t>41,08,0</t>
  </si>
  <si>
    <t>41,41,1</t>
  </si>
  <si>
    <t>41,56,7</t>
  </si>
  <si>
    <t>LE-REST</t>
  </si>
  <si>
    <t>43,31,3</t>
  </si>
  <si>
    <t>43,45,4</t>
  </si>
  <si>
    <t>44,07,8</t>
  </si>
  <si>
    <t>SENGUES</t>
  </si>
  <si>
    <t>SAMY</t>
  </si>
  <si>
    <t>AS CEP</t>
  </si>
  <si>
    <t>44,23,1</t>
  </si>
  <si>
    <t>45,49,5</t>
  </si>
  <si>
    <t>47,58,9</t>
  </si>
  <si>
    <t>BOUDERGUI</t>
  </si>
  <si>
    <t>SONIA</t>
  </si>
  <si>
    <t>49,15,3</t>
  </si>
  <si>
    <t>PIDOU</t>
  </si>
  <si>
    <t>FREDERIC</t>
  </si>
  <si>
    <t>52,29,8</t>
  </si>
  <si>
    <t>1,08,50,4</t>
  </si>
  <si>
    <t>13-14/05/2017</t>
  </si>
  <si>
    <t>400m</t>
  </si>
  <si>
    <t>13/14/2017</t>
  </si>
  <si>
    <t>110hm</t>
  </si>
  <si>
    <t>13-14/5/2017</t>
  </si>
  <si>
    <t>5,29,5</t>
  </si>
  <si>
    <t>13-14/5/17</t>
  </si>
  <si>
    <t>13/14/5/17</t>
  </si>
  <si>
    <t>Chee-AYEE</t>
  </si>
  <si>
    <t>Ariimoana</t>
  </si>
  <si>
    <t>200m</t>
  </si>
  <si>
    <t>12,02,12</t>
  </si>
  <si>
    <t>10,26,49</t>
  </si>
  <si>
    <t xml:space="preserve">MA </t>
  </si>
  <si>
    <t>800m</t>
  </si>
  <si>
    <t>2,34,2</t>
  </si>
  <si>
    <t>4,51,4</t>
  </si>
  <si>
    <t>5,21,3</t>
  </si>
  <si>
    <t>5,42,7</t>
  </si>
  <si>
    <t>TEPA</t>
  </si>
  <si>
    <t>TUTEHAU</t>
  </si>
  <si>
    <t>Arue</t>
  </si>
  <si>
    <t>4,45,9</t>
  </si>
  <si>
    <t>PERC</t>
  </si>
  <si>
    <t>RICHMOND</t>
  </si>
  <si>
    <t>GEORGES</t>
  </si>
  <si>
    <t>5,22,09</t>
  </si>
  <si>
    <t>7,58,57</t>
  </si>
  <si>
    <t>8,42,74</t>
  </si>
  <si>
    <t>DISQ</t>
  </si>
  <si>
    <t>2,05,51</t>
  </si>
  <si>
    <t>2,06,22</t>
  </si>
  <si>
    <t>2,06,65</t>
  </si>
  <si>
    <t>2,11,82</t>
  </si>
  <si>
    <t>2,11,83</t>
  </si>
  <si>
    <t>2,14,56</t>
  </si>
  <si>
    <t>2,17,88</t>
  </si>
  <si>
    <t>2,22,56</t>
  </si>
  <si>
    <t>2,26,43</t>
  </si>
  <si>
    <t>WILFRID</t>
  </si>
  <si>
    <t>2,32,74</t>
  </si>
  <si>
    <t>5,02,0</t>
  </si>
  <si>
    <t>5,02,2</t>
  </si>
  <si>
    <t>5,26,8</t>
  </si>
  <si>
    <t>4,16,0</t>
  </si>
  <si>
    <t>4,25,3</t>
  </si>
  <si>
    <t>4,41,2</t>
  </si>
  <si>
    <t>4,50,0</t>
  </si>
  <si>
    <t>4,54,2</t>
  </si>
  <si>
    <t>5,11,9</t>
  </si>
  <si>
    <t>19,39,37</t>
  </si>
  <si>
    <t>600g</t>
  </si>
  <si>
    <t>11,10,39</t>
  </si>
  <si>
    <t>6 meilleures épreuves prises en considération</t>
  </si>
  <si>
    <t>du 1er novembre 2016 au 31 août 2017</t>
  </si>
  <si>
    <t>5,10,96</t>
  </si>
  <si>
    <t>39,56,76</t>
  </si>
  <si>
    <t>Jav</t>
  </si>
  <si>
    <t>JOSE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</si>
</sst>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dd/mm/yy;@"/>
    <numFmt numFmtId="167" formatCode="[$-40C]d\-mmm\-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20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1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52" fillId="34" borderId="15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34" borderId="11" xfId="0" applyFont="1" applyFill="1" applyBorder="1" applyAlignment="1">
      <alignment/>
    </xf>
    <xf numFmtId="0" fontId="51" fillId="0" borderId="16" xfId="0" applyFont="1" applyBorder="1" applyAlignment="1">
      <alignment/>
    </xf>
    <xf numFmtId="0" fontId="54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34" borderId="15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5" fillId="34" borderId="19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55" fillId="34" borderId="11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51" fillId="0" borderId="22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1" fillId="0" borderId="16" xfId="0" applyFont="1" applyBorder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0" fillId="0" borderId="0" xfId="0" applyAlignment="1">
      <alignment horizontal="left"/>
    </xf>
    <xf numFmtId="2" fontId="53" fillId="0" borderId="10" xfId="0" applyNumberFormat="1" applyFont="1" applyBorder="1" applyAlignment="1">
      <alignment horizontal="center"/>
    </xf>
    <xf numFmtId="0" fontId="20" fillId="1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51" fillId="0" borderId="10" xfId="0" applyNumberFormat="1" applyFont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0" fillId="14" borderId="10" xfId="0" applyFill="1" applyBorder="1" applyAlignment="1">
      <alignment horizontal="center"/>
    </xf>
    <xf numFmtId="0" fontId="0" fillId="14" borderId="10" xfId="0" applyFill="1" applyBorder="1" applyAlignment="1">
      <alignment vertical="center"/>
    </xf>
    <xf numFmtId="0" fontId="0" fillId="14" borderId="10" xfId="0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5" fillId="34" borderId="23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" fontId="51" fillId="0" borderId="10" xfId="0" applyNumberFormat="1" applyFont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7" xfId="0" applyFont="1" applyBorder="1" applyAlignment="1">
      <alignment horizontal="center"/>
    </xf>
    <xf numFmtId="0" fontId="54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25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4" fillId="0" borderId="10" xfId="0" applyFont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/>
    </xf>
    <xf numFmtId="2" fontId="54" fillId="0" borderId="26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26" xfId="0" applyFont="1" applyBorder="1" applyAlignment="1">
      <alignment/>
    </xf>
    <xf numFmtId="0" fontId="54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/>
    </xf>
    <xf numFmtId="0" fontId="54" fillId="34" borderId="26" xfId="0" applyFont="1" applyFill="1" applyBorder="1" applyAlignment="1">
      <alignment/>
    </xf>
    <xf numFmtId="0" fontId="54" fillId="35" borderId="0" xfId="0" applyFont="1" applyFill="1" applyAlignment="1">
      <alignment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6" borderId="0" xfId="0" applyFont="1" applyFill="1" applyAlignment="1">
      <alignment vertical="center"/>
    </xf>
    <xf numFmtId="0" fontId="54" fillId="13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0" fontId="54" fillId="6" borderId="0" xfId="0" applyFont="1" applyFill="1" applyAlignment="1">
      <alignment/>
    </xf>
    <xf numFmtId="0" fontId="54" fillId="13" borderId="0" xfId="0" applyFont="1" applyFill="1" applyAlignment="1">
      <alignment/>
    </xf>
    <xf numFmtId="0" fontId="56" fillId="34" borderId="15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4" fillId="0" borderId="16" xfId="0" applyFont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56" fillId="34" borderId="15" xfId="0" applyFont="1" applyFill="1" applyBorder="1" applyAlignment="1" quotePrefix="1">
      <alignment horizontal="center"/>
    </xf>
    <xf numFmtId="0" fontId="54" fillId="0" borderId="22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54" fillId="0" borderId="26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6" fillId="34" borderId="26" xfId="0" applyFont="1" applyFill="1" applyBorder="1" applyAlignment="1">
      <alignment/>
    </xf>
    <xf numFmtId="0" fontId="56" fillId="34" borderId="27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4" fillId="6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4" fillId="15" borderId="10" xfId="0" applyFont="1" applyFill="1" applyBorder="1" applyAlignment="1">
      <alignment/>
    </xf>
    <xf numFmtId="2" fontId="54" fillId="0" borderId="0" xfId="0" applyNumberFormat="1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6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6" fillId="15" borderId="10" xfId="0" applyFont="1" applyFill="1" applyBorder="1" applyAlignment="1">
      <alignment horizontal="center"/>
    </xf>
    <xf numFmtId="0" fontId="56" fillId="15" borderId="15" xfId="0" applyFont="1" applyFill="1" applyBorder="1" applyAlignment="1">
      <alignment horizontal="center"/>
    </xf>
    <xf numFmtId="0" fontId="56" fillId="15" borderId="15" xfId="0" applyFont="1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56" fillId="15" borderId="11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56" fillId="15" borderId="11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9" fillId="15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0" borderId="12" xfId="0" applyFill="1" applyBorder="1" applyAlignment="1">
      <alignment vertical="center"/>
    </xf>
    <xf numFmtId="0" fontId="0" fillId="15" borderId="0" xfId="0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15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0" fillId="14" borderId="11" xfId="0" applyFill="1" applyBorder="1" applyAlignment="1">
      <alignment vertical="center"/>
    </xf>
    <xf numFmtId="0" fontId="20" fillId="15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15" borderId="0" xfId="0" applyFill="1" applyBorder="1" applyAlignment="1">
      <alignment/>
    </xf>
    <xf numFmtId="0" fontId="0" fillId="13" borderId="10" xfId="0" applyFill="1" applyBorder="1" applyAlignment="1">
      <alignment/>
    </xf>
    <xf numFmtId="0" fontId="20" fillId="15" borderId="12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13" borderId="1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31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20" fillId="0" borderId="2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55" fillId="15" borderId="11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55" fillId="33" borderId="15" xfId="0" applyFont="1" applyFill="1" applyBorder="1" applyAlignment="1">
      <alignment horizontal="center"/>
    </xf>
    <xf numFmtId="0" fontId="55" fillId="15" borderId="15" xfId="0" applyFont="1" applyFill="1" applyBorder="1" applyAlignment="1">
      <alignment/>
    </xf>
    <xf numFmtId="0" fontId="55" fillId="9" borderId="15" xfId="0" applyFont="1" applyFill="1" applyBorder="1" applyAlignment="1">
      <alignment/>
    </xf>
    <xf numFmtId="0" fontId="55" fillId="9" borderId="11" xfId="0" applyFont="1" applyFill="1" applyBorder="1" applyAlignment="1">
      <alignment/>
    </xf>
    <xf numFmtId="0" fontId="55" fillId="9" borderId="15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3" fillId="15" borderId="15" xfId="0" applyFont="1" applyFill="1" applyBorder="1" applyAlignment="1">
      <alignment/>
    </xf>
    <xf numFmtId="0" fontId="55" fillId="15" borderId="15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33" borderId="33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5" fillId="15" borderId="19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/>
    </xf>
    <xf numFmtId="0" fontId="55" fillId="34" borderId="21" xfId="0" applyFont="1" applyFill="1" applyBorder="1" applyAlignment="1">
      <alignment/>
    </xf>
    <xf numFmtId="0" fontId="55" fillId="15" borderId="21" xfId="0" applyFont="1" applyFill="1" applyBorder="1" applyAlignment="1">
      <alignment/>
    </xf>
    <xf numFmtId="0" fontId="54" fillId="0" borderId="17" xfId="0" applyFont="1" applyBorder="1" applyAlignment="1">
      <alignment/>
    </xf>
    <xf numFmtId="0" fontId="55" fillId="15" borderId="19" xfId="0" applyFont="1" applyFill="1" applyBorder="1" applyAlignment="1">
      <alignment/>
    </xf>
    <xf numFmtId="0" fontId="53" fillId="0" borderId="20" xfId="0" applyFont="1" applyBorder="1" applyAlignment="1">
      <alignment/>
    </xf>
    <xf numFmtId="0" fontId="0" fillId="9" borderId="33" xfId="0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53" fillId="9" borderId="15" xfId="0" applyFont="1" applyFill="1" applyBorder="1" applyAlignment="1">
      <alignment horizontal="center"/>
    </xf>
    <xf numFmtId="0" fontId="55" fillId="9" borderId="10" xfId="0" applyFont="1" applyFill="1" applyBorder="1" applyAlignment="1">
      <alignment horizontal="center"/>
    </xf>
    <xf numFmtId="0" fontId="55" fillId="9" borderId="23" xfId="0" applyFont="1" applyFill="1" applyBorder="1" applyAlignment="1">
      <alignment horizontal="center"/>
    </xf>
    <xf numFmtId="0" fontId="0" fillId="9" borderId="35" xfId="0" applyFill="1" applyBorder="1" applyAlignment="1">
      <alignment horizontal="left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5" fillId="9" borderId="11" xfId="0" applyFont="1" applyFill="1" applyBorder="1" applyAlignment="1">
      <alignment horizontal="center"/>
    </xf>
    <xf numFmtId="0" fontId="52" fillId="9" borderId="15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36" xfId="0" applyFill="1" applyBorder="1" applyAlignment="1">
      <alignment horizontal="left"/>
    </xf>
    <xf numFmtId="0" fontId="0" fillId="9" borderId="25" xfId="0" applyFill="1" applyBorder="1" applyAlignment="1">
      <alignment horizontal="left"/>
    </xf>
    <xf numFmtId="0" fontId="55" fillId="33" borderId="1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20" fillId="9" borderId="10" xfId="0" applyFont="1" applyFill="1" applyBorder="1" applyAlignment="1">
      <alignment horizontal="left" vertical="center"/>
    </xf>
    <xf numFmtId="0" fontId="20" fillId="9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1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9" borderId="0" xfId="0" applyFill="1" applyBorder="1" applyAlignment="1">
      <alignment horizontal="left"/>
    </xf>
    <xf numFmtId="0" fontId="20" fillId="33" borderId="36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/>
    </xf>
    <xf numFmtId="0" fontId="20" fillId="33" borderId="25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33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20" fillId="33" borderId="3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2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0" fontId="51" fillId="15" borderId="14" xfId="0" applyFont="1" applyFill="1" applyBorder="1" applyAlignment="1">
      <alignment/>
    </xf>
    <xf numFmtId="0" fontId="52" fillId="14" borderId="15" xfId="0" applyFont="1" applyFill="1" applyBorder="1" applyAlignment="1">
      <alignment/>
    </xf>
    <xf numFmtId="0" fontId="52" fillId="14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2" fontId="5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/>
    </xf>
    <xf numFmtId="167" fontId="54" fillId="35" borderId="37" xfId="0" applyNumberFormat="1" applyFont="1" applyFill="1" applyBorder="1" applyAlignment="1">
      <alignment horizontal="center"/>
    </xf>
    <xf numFmtId="167" fontId="54" fillId="35" borderId="38" xfId="0" applyNumberFormat="1" applyFont="1" applyFill="1" applyBorder="1" applyAlignment="1">
      <alignment horizontal="center"/>
    </xf>
    <xf numFmtId="167" fontId="54" fillId="35" borderId="39" xfId="0" applyNumberFormat="1" applyFont="1" applyFill="1" applyBorder="1" applyAlignment="1">
      <alignment horizontal="center"/>
    </xf>
    <xf numFmtId="0" fontId="54" fillId="35" borderId="37" xfId="0" applyFont="1" applyFill="1" applyBorder="1" applyAlignment="1">
      <alignment horizontal="center"/>
    </xf>
    <xf numFmtId="0" fontId="54" fillId="35" borderId="38" xfId="0" applyFont="1" applyFill="1" applyBorder="1" applyAlignment="1">
      <alignment horizontal="center"/>
    </xf>
    <xf numFmtId="0" fontId="54" fillId="35" borderId="39" xfId="0" applyFont="1" applyFill="1" applyBorder="1" applyAlignment="1">
      <alignment horizontal="center"/>
    </xf>
    <xf numFmtId="16" fontId="54" fillId="35" borderId="37" xfId="0" applyNumberFormat="1" applyFont="1" applyFill="1" applyBorder="1" applyAlignment="1">
      <alignment horizontal="center"/>
    </xf>
    <xf numFmtId="167" fontId="54" fillId="35" borderId="11" xfId="0" applyNumberFormat="1" applyFont="1" applyFill="1" applyBorder="1" applyAlignment="1">
      <alignment horizontal="center"/>
    </xf>
    <xf numFmtId="0" fontId="54" fillId="35" borderId="23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/>
    </xf>
    <xf numFmtId="167" fontId="54" fillId="35" borderId="40" xfId="0" applyNumberFormat="1" applyFont="1" applyFill="1" applyBorder="1" applyAlignment="1">
      <alignment horizontal="center"/>
    </xf>
    <xf numFmtId="167" fontId="54" fillId="35" borderId="41" xfId="0" applyNumberFormat="1" applyFont="1" applyFill="1" applyBorder="1" applyAlignment="1">
      <alignment horizontal="center"/>
    </xf>
    <xf numFmtId="167" fontId="54" fillId="35" borderId="42" xfId="0" applyNumberFormat="1" applyFont="1" applyFill="1" applyBorder="1" applyAlignment="1">
      <alignment horizontal="center"/>
    </xf>
    <xf numFmtId="167" fontId="54" fillId="35" borderId="43" xfId="0" applyNumberFormat="1" applyFont="1" applyFill="1" applyBorder="1" applyAlignment="1">
      <alignment horizontal="center"/>
    </xf>
    <xf numFmtId="167" fontId="54" fillId="35" borderId="44" xfId="0" applyNumberFormat="1" applyFont="1" applyFill="1" applyBorder="1" applyAlignment="1">
      <alignment horizontal="center"/>
    </xf>
    <xf numFmtId="14" fontId="54" fillId="35" borderId="11" xfId="0" applyNumberFormat="1" applyFont="1" applyFill="1" applyBorder="1" applyAlignment="1">
      <alignment/>
    </xf>
    <xf numFmtId="0" fontId="54" fillId="35" borderId="23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14" fontId="54" fillId="35" borderId="32" xfId="0" applyNumberFormat="1" applyFont="1" applyFill="1" applyBorder="1" applyAlignment="1">
      <alignment/>
    </xf>
    <xf numFmtId="0" fontId="54" fillId="35" borderId="45" xfId="0" applyFont="1" applyFill="1" applyBorder="1" applyAlignment="1">
      <alignment/>
    </xf>
    <xf numFmtId="0" fontId="54" fillId="35" borderId="46" xfId="0" applyFont="1" applyFill="1" applyBorder="1" applyAlignment="1">
      <alignment/>
    </xf>
    <xf numFmtId="14" fontId="54" fillId="0" borderId="32" xfId="0" applyNumberFormat="1" applyFont="1" applyBorder="1" applyAlignment="1">
      <alignment/>
    </xf>
    <xf numFmtId="0" fontId="54" fillId="0" borderId="45" xfId="0" applyFont="1" applyBorder="1" applyAlignment="1">
      <alignment/>
    </xf>
    <xf numFmtId="0" fontId="54" fillId="0" borderId="46" xfId="0" applyFont="1" applyBorder="1" applyAlignment="1">
      <alignment/>
    </xf>
    <xf numFmtId="167" fontId="53" fillId="0" borderId="47" xfId="0" applyNumberFormat="1" applyFont="1" applyBorder="1" applyAlignment="1">
      <alignment horizontal="center"/>
    </xf>
    <xf numFmtId="167" fontId="53" fillId="0" borderId="48" xfId="0" applyNumberFormat="1" applyFont="1" applyBorder="1" applyAlignment="1">
      <alignment horizontal="center"/>
    </xf>
    <xf numFmtId="167" fontId="53" fillId="0" borderId="49" xfId="0" applyNumberFormat="1" applyFont="1" applyBorder="1" applyAlignment="1">
      <alignment horizontal="center"/>
    </xf>
    <xf numFmtId="16" fontId="53" fillId="0" borderId="47" xfId="0" applyNumberFormat="1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167" fontId="53" fillId="35" borderId="47" xfId="0" applyNumberFormat="1" applyFont="1" applyFill="1" applyBorder="1" applyAlignment="1">
      <alignment horizontal="center"/>
    </xf>
    <xf numFmtId="167" fontId="53" fillId="35" borderId="48" xfId="0" applyNumberFormat="1" applyFont="1" applyFill="1" applyBorder="1" applyAlignment="1">
      <alignment horizontal="center"/>
    </xf>
    <xf numFmtId="167" fontId="53" fillId="35" borderId="49" xfId="0" applyNumberFormat="1" applyFont="1" applyFill="1" applyBorder="1" applyAlignment="1">
      <alignment horizontal="center"/>
    </xf>
    <xf numFmtId="167" fontId="53" fillId="35" borderId="50" xfId="0" applyNumberFormat="1" applyFont="1" applyFill="1" applyBorder="1" applyAlignment="1">
      <alignment horizontal="center"/>
    </xf>
    <xf numFmtId="167" fontId="53" fillId="35" borderId="51" xfId="0" applyNumberFormat="1" applyFont="1" applyFill="1" applyBorder="1" applyAlignment="1">
      <alignment horizontal="center"/>
    </xf>
    <xf numFmtId="167" fontId="51" fillId="35" borderId="37" xfId="0" applyNumberFormat="1" applyFont="1" applyFill="1" applyBorder="1" applyAlignment="1">
      <alignment horizontal="center"/>
    </xf>
    <xf numFmtId="167" fontId="51" fillId="35" borderId="38" xfId="0" applyNumberFormat="1" applyFont="1" applyFill="1" applyBorder="1" applyAlignment="1">
      <alignment horizontal="center"/>
    </xf>
    <xf numFmtId="167" fontId="51" fillId="35" borderId="39" xfId="0" applyNumberFormat="1" applyFont="1" applyFill="1" applyBorder="1" applyAlignment="1">
      <alignment horizontal="center"/>
    </xf>
    <xf numFmtId="167" fontId="51" fillId="35" borderId="43" xfId="0" applyNumberFormat="1" applyFont="1" applyFill="1" applyBorder="1" applyAlignment="1">
      <alignment horizontal="center"/>
    </xf>
    <xf numFmtId="167" fontId="51" fillId="35" borderId="41" xfId="0" applyNumberFormat="1" applyFont="1" applyFill="1" applyBorder="1" applyAlignment="1">
      <alignment horizontal="center"/>
    </xf>
    <xf numFmtId="167" fontId="51" fillId="35" borderId="42" xfId="0" applyNumberFormat="1" applyFont="1" applyFill="1" applyBorder="1" applyAlignment="1">
      <alignment horizontal="center"/>
    </xf>
    <xf numFmtId="167" fontId="51" fillId="35" borderId="40" xfId="0" applyNumberFormat="1" applyFont="1" applyFill="1" applyBorder="1" applyAlignment="1">
      <alignment horizontal="center"/>
    </xf>
    <xf numFmtId="167" fontId="51" fillId="35" borderId="10" xfId="0" applyNumberFormat="1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1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51" fillId="0" borderId="37" xfId="0" applyNumberFormat="1" applyFont="1" applyBorder="1" applyAlignment="1">
      <alignment horizontal="center"/>
    </xf>
    <xf numFmtId="167" fontId="51" fillId="0" borderId="38" xfId="0" applyNumberFormat="1" applyFont="1" applyBorder="1" applyAlignment="1">
      <alignment horizontal="center"/>
    </xf>
    <xf numFmtId="167" fontId="51" fillId="0" borderId="39" xfId="0" applyNumberFormat="1" applyFont="1" applyBorder="1" applyAlignment="1">
      <alignment horizontal="center"/>
    </xf>
    <xf numFmtId="14" fontId="0" fillId="35" borderId="52" xfId="0" applyNumberFormat="1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14" fontId="0" fillId="35" borderId="54" xfId="0" applyNumberFormat="1" applyFill="1" applyBorder="1" applyAlignment="1">
      <alignment/>
    </xf>
    <xf numFmtId="0" fontId="56" fillId="0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0" fillId="15" borderId="55" xfId="0" applyFont="1" applyFill="1" applyBorder="1" applyAlignment="1">
      <alignment vertical="center"/>
    </xf>
    <xf numFmtId="0" fontId="20" fillId="15" borderId="28" xfId="0" applyFont="1" applyFill="1" applyBorder="1" applyAlignment="1">
      <alignment vertical="center"/>
    </xf>
    <xf numFmtId="0" fontId="21" fillId="15" borderId="28" xfId="0" applyFont="1" applyFill="1" applyBorder="1" applyAlignment="1">
      <alignment horizontal="center" vertical="center"/>
    </xf>
    <xf numFmtId="0" fontId="20" fillId="15" borderId="29" xfId="0" applyFont="1" applyFill="1" applyBorder="1" applyAlignment="1">
      <alignment horizontal="center" vertical="center"/>
    </xf>
    <xf numFmtId="0" fontId="20" fillId="15" borderId="1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9"/>
  <sheetViews>
    <sheetView tabSelected="1" zoomScalePageLayoutView="0" workbookViewId="0" topLeftCell="A1">
      <pane ySplit="765" topLeftCell="A1" activePane="bottomLeft" state="split"/>
      <selection pane="topLeft" activeCell="A3" sqref="A3:AQ4"/>
      <selection pane="bottomLeft" activeCell="A3" sqref="A3:H16"/>
    </sheetView>
  </sheetViews>
  <sheetFormatPr defaultColWidth="11.421875" defaultRowHeight="15"/>
  <cols>
    <col min="1" max="1" width="12.28125" style="230" bestFit="1" customWidth="1"/>
    <col min="2" max="2" width="9.8515625" style="230" bestFit="1" customWidth="1"/>
    <col min="3" max="3" width="4.57421875" style="1" customWidth="1"/>
    <col min="4" max="4" width="3.421875" style="0" customWidth="1"/>
    <col min="5" max="5" width="15.00390625" style="1" bestFit="1" customWidth="1"/>
    <col min="6" max="6" width="6.421875" style="0" bestFit="1" customWidth="1"/>
    <col min="7" max="7" width="12.140625" style="1" customWidth="1"/>
    <col min="8" max="8" width="11.00390625" style="1" bestFit="1" customWidth="1"/>
    <col min="9" max="9" width="4.7109375" style="169" bestFit="1" customWidth="1"/>
    <col min="10" max="10" width="5.28125" style="169" bestFit="1" customWidth="1"/>
    <col min="11" max="11" width="3.57421875" style="170" bestFit="1" customWidth="1"/>
    <col min="12" max="12" width="3.57421875" style="169" bestFit="1" customWidth="1"/>
    <col min="13" max="13" width="5.28125" style="169" bestFit="1" customWidth="1"/>
    <col min="14" max="14" width="3.57421875" style="170" bestFit="1" customWidth="1"/>
    <col min="15" max="16" width="3.57421875" style="171" customWidth="1"/>
    <col min="17" max="17" width="3.57421875" style="170" customWidth="1"/>
    <col min="18" max="18" width="3.57421875" style="169" bestFit="1" customWidth="1"/>
    <col min="19" max="19" width="4.8515625" style="169" bestFit="1" customWidth="1"/>
    <col min="20" max="20" width="3.57421875" style="170" bestFit="1" customWidth="1"/>
    <col min="21" max="21" width="3.57421875" style="169" bestFit="1" customWidth="1"/>
    <col min="22" max="22" width="4.8515625" style="169" bestFit="1" customWidth="1"/>
    <col min="23" max="23" width="3.57421875" style="172" bestFit="1" customWidth="1"/>
    <col min="24" max="24" width="3.57421875" style="107" bestFit="1" customWidth="1"/>
    <col min="25" max="25" width="4.8515625" style="107" bestFit="1" customWidth="1"/>
    <col min="26" max="26" width="3.57421875" style="172" bestFit="1" customWidth="1"/>
    <col min="27" max="27" width="4.7109375" style="107" bestFit="1" customWidth="1"/>
    <col min="28" max="28" width="5.28125" style="107" bestFit="1" customWidth="1"/>
    <col min="29" max="29" width="3.57421875" style="172" bestFit="1" customWidth="1"/>
    <col min="30" max="30" width="3.57421875" style="107" bestFit="1" customWidth="1"/>
    <col min="31" max="31" width="5.28125" style="107" bestFit="1" customWidth="1"/>
    <col min="32" max="32" width="3.57421875" style="172" bestFit="1" customWidth="1"/>
    <col min="33" max="34" width="5.28125" style="107" bestFit="1" customWidth="1"/>
    <col min="35" max="35" width="3.57421875" style="172" bestFit="1" customWidth="1"/>
    <col min="36" max="36" width="3.57421875" style="107" bestFit="1" customWidth="1"/>
    <col min="37" max="37" width="5.28125" style="107" bestFit="1" customWidth="1"/>
    <col min="38" max="38" width="3.57421875" style="172" bestFit="1" customWidth="1"/>
    <col min="39" max="39" width="3.57421875" style="107" bestFit="1" customWidth="1"/>
    <col min="40" max="40" width="4.8515625" style="107" bestFit="1" customWidth="1"/>
    <col min="41" max="41" width="3.57421875" style="172" bestFit="1" customWidth="1"/>
    <col min="42" max="43" width="4.7109375" style="107" customWidth="1"/>
    <col min="44" max="44" width="3.57421875" style="172" bestFit="1" customWidth="1"/>
    <col min="45" max="45" width="3.57421875" style="107" bestFit="1" customWidth="1"/>
    <col min="46" max="46" width="4.8515625" style="107" bestFit="1" customWidth="1"/>
    <col min="47" max="47" width="3.57421875" style="172" bestFit="1" customWidth="1"/>
    <col min="48" max="48" width="4.57421875" style="107" customWidth="1"/>
    <col min="49" max="49" width="5.00390625" style="107" customWidth="1"/>
    <col min="50" max="50" width="4.00390625" style="172" bestFit="1" customWidth="1"/>
    <col min="51" max="51" width="3.57421875" style="107" bestFit="1" customWidth="1"/>
    <col min="52" max="52" width="4.140625" style="107" bestFit="1" customWidth="1"/>
    <col min="53" max="53" width="3.57421875" style="172" bestFit="1" customWidth="1"/>
    <col min="54" max="60" width="0" style="107" hidden="1" customWidth="1"/>
    <col min="61" max="61" width="11.421875" style="107" hidden="1" customWidth="1"/>
    <col min="62" max="62" width="0" style="107" hidden="1" customWidth="1"/>
    <col min="63" max="63" width="6.421875" style="107" hidden="1" customWidth="1"/>
    <col min="64" max="77" width="4.421875" style="148" hidden="1" customWidth="1"/>
    <col min="78" max="82" width="5.57421875" style="149" hidden="1" customWidth="1"/>
    <col min="83" max="83" width="0" style="107" hidden="1" customWidth="1"/>
    <col min="84" max="85" width="11.421875" style="107" hidden="1" customWidth="1"/>
    <col min="86" max="89" width="4.00390625" style="107" customWidth="1"/>
    <col min="90" max="90" width="4.8515625" style="107" customWidth="1"/>
    <col min="91" max="92" width="4.00390625" style="107" customWidth="1"/>
    <col min="93" max="95" width="3.7109375" style="107" customWidth="1"/>
    <col min="96" max="96" width="4.8515625" style="107" customWidth="1"/>
    <col min="97" max="98" width="3.7109375" style="107" customWidth="1"/>
    <col min="99" max="99" width="4.7109375" style="107" customWidth="1"/>
    <col min="100" max="100" width="3.7109375" style="107" customWidth="1"/>
    <col min="101" max="101" width="4.7109375" style="107" customWidth="1"/>
    <col min="102" max="108" width="3.7109375" style="107" customWidth="1"/>
    <col min="109" max="117" width="3.28125" style="107" customWidth="1"/>
    <col min="118" max="132" width="11.421875" style="107" customWidth="1"/>
  </cols>
  <sheetData>
    <row r="1" spans="1:106" ht="15">
      <c r="A1" s="230" t="s">
        <v>432</v>
      </c>
      <c r="I1" s="350">
        <v>42683</v>
      </c>
      <c r="J1" s="351"/>
      <c r="K1" s="352"/>
      <c r="L1" s="353">
        <v>42697</v>
      </c>
      <c r="M1" s="351"/>
      <c r="N1" s="354"/>
      <c r="O1" s="347">
        <v>42697</v>
      </c>
      <c r="P1" s="348"/>
      <c r="Q1" s="349"/>
      <c r="R1" s="341">
        <v>42711</v>
      </c>
      <c r="S1" s="341"/>
      <c r="T1" s="342"/>
      <c r="U1" s="340">
        <v>42756</v>
      </c>
      <c r="V1" s="341"/>
      <c r="W1" s="342"/>
      <c r="X1" s="340">
        <v>42756</v>
      </c>
      <c r="Y1" s="341"/>
      <c r="Z1" s="342"/>
      <c r="AA1" s="340">
        <v>42770</v>
      </c>
      <c r="AB1" s="341"/>
      <c r="AC1" s="342"/>
      <c r="AD1" s="340">
        <v>42770</v>
      </c>
      <c r="AE1" s="341"/>
      <c r="AF1" s="342"/>
      <c r="AG1" s="340">
        <v>42791</v>
      </c>
      <c r="AH1" s="341"/>
      <c r="AI1" s="342"/>
      <c r="AJ1" s="340">
        <v>42791</v>
      </c>
      <c r="AK1" s="341"/>
      <c r="AL1" s="342"/>
      <c r="AM1" s="340">
        <v>42811</v>
      </c>
      <c r="AN1" s="341"/>
      <c r="AO1" s="342"/>
      <c r="AP1" s="340">
        <v>42811</v>
      </c>
      <c r="AQ1" s="341"/>
      <c r="AR1" s="342"/>
      <c r="AS1" s="340">
        <v>42811</v>
      </c>
      <c r="AT1" s="341"/>
      <c r="AU1" s="342"/>
      <c r="AV1" s="343" t="s">
        <v>378</v>
      </c>
      <c r="AW1" s="344"/>
      <c r="AX1" s="345"/>
      <c r="AY1" s="346" t="s">
        <v>378</v>
      </c>
      <c r="AZ1" s="344"/>
      <c r="BA1" s="345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339" t="s">
        <v>380</v>
      </c>
      <c r="CI1" s="339"/>
      <c r="CJ1" s="339"/>
      <c r="CK1" s="355">
        <v>42875</v>
      </c>
      <c r="CL1" s="356"/>
      <c r="CM1" s="357"/>
      <c r="CN1" s="355">
        <v>42906</v>
      </c>
      <c r="CO1" s="356"/>
      <c r="CP1" s="357"/>
      <c r="CQ1" s="355">
        <v>42915</v>
      </c>
      <c r="CR1" s="356"/>
      <c r="CS1" s="357"/>
      <c r="CT1" s="358">
        <v>42915</v>
      </c>
      <c r="CU1" s="359"/>
      <c r="CV1" s="360"/>
      <c r="CW1" s="361">
        <v>42916</v>
      </c>
      <c r="CX1" s="362"/>
      <c r="CY1" s="363"/>
      <c r="CZ1" s="361">
        <v>42916</v>
      </c>
      <c r="DA1" s="362"/>
      <c r="DB1" s="363"/>
    </row>
    <row r="2" spans="1:132" s="58" customFormat="1" ht="37.5" customHeight="1">
      <c r="A2" s="58" t="s">
        <v>431</v>
      </c>
      <c r="C2" s="113"/>
      <c r="E2" s="113"/>
      <c r="F2" s="60" t="s">
        <v>23</v>
      </c>
      <c r="G2" s="180" t="s">
        <v>24</v>
      </c>
      <c r="H2" s="60" t="s">
        <v>25</v>
      </c>
      <c r="I2" s="128" t="s">
        <v>7</v>
      </c>
      <c r="J2" s="129" t="s">
        <v>8</v>
      </c>
      <c r="K2" s="130" t="s">
        <v>9</v>
      </c>
      <c r="L2" s="131" t="s">
        <v>7</v>
      </c>
      <c r="M2" s="129" t="s">
        <v>8</v>
      </c>
      <c r="N2" s="132" t="s">
        <v>9</v>
      </c>
      <c r="O2" s="133" t="s">
        <v>7</v>
      </c>
      <c r="P2" s="133" t="s">
        <v>8</v>
      </c>
      <c r="Q2" s="134" t="s">
        <v>322</v>
      </c>
      <c r="R2" s="128" t="s">
        <v>7</v>
      </c>
      <c r="S2" s="129" t="s">
        <v>8</v>
      </c>
      <c r="T2" s="130" t="s">
        <v>9</v>
      </c>
      <c r="U2" s="131" t="s">
        <v>7</v>
      </c>
      <c r="V2" s="129" t="s">
        <v>8</v>
      </c>
      <c r="W2" s="130" t="s">
        <v>9</v>
      </c>
      <c r="X2" s="131" t="s">
        <v>7</v>
      </c>
      <c r="Y2" s="129" t="s">
        <v>8</v>
      </c>
      <c r="Z2" s="130" t="s">
        <v>9</v>
      </c>
      <c r="AA2" s="131" t="s">
        <v>7</v>
      </c>
      <c r="AB2" s="129" t="s">
        <v>8</v>
      </c>
      <c r="AC2" s="130" t="s">
        <v>9</v>
      </c>
      <c r="AD2" s="131" t="s">
        <v>7</v>
      </c>
      <c r="AE2" s="129" t="s">
        <v>8</v>
      </c>
      <c r="AF2" s="130" t="s">
        <v>9</v>
      </c>
      <c r="AG2" s="131" t="s">
        <v>7</v>
      </c>
      <c r="AH2" s="129" t="s">
        <v>8</v>
      </c>
      <c r="AI2" s="130" t="s">
        <v>9</v>
      </c>
      <c r="AJ2" s="131" t="s">
        <v>7</v>
      </c>
      <c r="AK2" s="129" t="s">
        <v>8</v>
      </c>
      <c r="AL2" s="130" t="s">
        <v>9</v>
      </c>
      <c r="AM2" s="131" t="s">
        <v>7</v>
      </c>
      <c r="AN2" s="129" t="s">
        <v>8</v>
      </c>
      <c r="AO2" s="130" t="s">
        <v>9</v>
      </c>
      <c r="AP2" s="131" t="s">
        <v>7</v>
      </c>
      <c r="AQ2" s="129" t="s">
        <v>8</v>
      </c>
      <c r="AR2" s="130" t="s">
        <v>9</v>
      </c>
      <c r="AS2" s="131" t="s">
        <v>7</v>
      </c>
      <c r="AT2" s="129" t="s">
        <v>8</v>
      </c>
      <c r="AU2" s="130" t="s">
        <v>9</v>
      </c>
      <c r="AV2" s="131" t="s">
        <v>7</v>
      </c>
      <c r="AW2" s="129" t="s">
        <v>8</v>
      </c>
      <c r="AX2" s="130" t="s">
        <v>9</v>
      </c>
      <c r="AY2" s="131" t="s">
        <v>7</v>
      </c>
      <c r="AZ2" s="129" t="s">
        <v>8</v>
      </c>
      <c r="BA2" s="130" t="s">
        <v>9</v>
      </c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6">
        <v>1</v>
      </c>
      <c r="BM2" s="136">
        <v>2</v>
      </c>
      <c r="BN2" s="136">
        <v>3</v>
      </c>
      <c r="BO2" s="136">
        <v>4</v>
      </c>
      <c r="BP2" s="136">
        <v>5</v>
      </c>
      <c r="BQ2" s="136">
        <v>6</v>
      </c>
      <c r="BR2" s="136">
        <v>7</v>
      </c>
      <c r="BS2" s="136">
        <v>8</v>
      </c>
      <c r="BT2" s="136">
        <v>9</v>
      </c>
      <c r="BU2" s="136">
        <v>10</v>
      </c>
      <c r="BV2" s="136">
        <v>11</v>
      </c>
      <c r="BW2" s="136">
        <v>12</v>
      </c>
      <c r="BX2" s="136">
        <v>13</v>
      </c>
      <c r="BY2" s="136">
        <v>14</v>
      </c>
      <c r="BZ2" s="137" t="s">
        <v>26</v>
      </c>
      <c r="CA2" s="137" t="s">
        <v>27</v>
      </c>
      <c r="CB2" s="137" t="s">
        <v>28</v>
      </c>
      <c r="CC2" s="137" t="s">
        <v>29</v>
      </c>
      <c r="CD2" s="137" t="s">
        <v>30</v>
      </c>
      <c r="CE2" s="135"/>
      <c r="CF2" s="135"/>
      <c r="CG2" s="135"/>
      <c r="CH2" s="131" t="s">
        <v>7</v>
      </c>
      <c r="CI2" s="129" t="s">
        <v>8</v>
      </c>
      <c r="CJ2" s="130" t="s">
        <v>9</v>
      </c>
      <c r="CK2" s="131" t="s">
        <v>7</v>
      </c>
      <c r="CL2" s="129" t="s">
        <v>8</v>
      </c>
      <c r="CM2" s="130" t="s">
        <v>9</v>
      </c>
      <c r="CN2" s="131" t="s">
        <v>7</v>
      </c>
      <c r="CO2" s="129" t="s">
        <v>8</v>
      </c>
      <c r="CP2" s="130" t="s">
        <v>9</v>
      </c>
      <c r="CQ2" s="131" t="s">
        <v>7</v>
      </c>
      <c r="CR2" s="129" t="s">
        <v>8</v>
      </c>
      <c r="CS2" s="130" t="s">
        <v>9</v>
      </c>
      <c r="CT2" s="131" t="s">
        <v>7</v>
      </c>
      <c r="CU2" s="129" t="s">
        <v>8</v>
      </c>
      <c r="CV2" s="130" t="s">
        <v>9</v>
      </c>
      <c r="CW2" s="131" t="s">
        <v>7</v>
      </c>
      <c r="CX2" s="129" t="s">
        <v>8</v>
      </c>
      <c r="CY2" s="130" t="s">
        <v>9</v>
      </c>
      <c r="CZ2" s="131" t="s">
        <v>7</v>
      </c>
      <c r="DA2" s="129" t="s">
        <v>8</v>
      </c>
      <c r="DB2" s="130" t="s">
        <v>9</v>
      </c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</row>
    <row r="3" spans="1:132" s="58" customFormat="1" ht="17.25" customHeight="1">
      <c r="A3" s="231" t="s">
        <v>13</v>
      </c>
      <c r="B3" s="231" t="s">
        <v>48</v>
      </c>
      <c r="C3" s="189" t="s">
        <v>47</v>
      </c>
      <c r="D3" s="189">
        <v>50</v>
      </c>
      <c r="E3" s="189" t="s">
        <v>11</v>
      </c>
      <c r="F3" s="189"/>
      <c r="G3" s="189">
        <f>SUM(W3,AC3,AI3,AO3,CS3,CV3)</f>
        <v>5118</v>
      </c>
      <c r="H3" s="189">
        <v>1</v>
      </c>
      <c r="I3" s="140">
        <v>200</v>
      </c>
      <c r="J3" s="141">
        <v>27.94</v>
      </c>
      <c r="K3" s="156">
        <v>691</v>
      </c>
      <c r="L3" s="143">
        <v>100</v>
      </c>
      <c r="M3" s="141">
        <v>13.14</v>
      </c>
      <c r="N3" s="144">
        <v>778</v>
      </c>
      <c r="O3" s="145"/>
      <c r="P3" s="145"/>
      <c r="Q3" s="146"/>
      <c r="R3" s="140">
        <v>200</v>
      </c>
      <c r="S3" s="147">
        <v>27.14</v>
      </c>
      <c r="T3" s="142">
        <v>755</v>
      </c>
      <c r="U3" s="143">
        <v>100</v>
      </c>
      <c r="V3" s="147">
        <v>13.08</v>
      </c>
      <c r="W3" s="188">
        <f>SUM(789+50)</f>
        <v>839</v>
      </c>
      <c r="X3" s="34"/>
      <c r="Y3" s="122"/>
      <c r="Z3" s="150"/>
      <c r="AA3" s="34">
        <v>100</v>
      </c>
      <c r="AB3" s="122">
        <v>13.13</v>
      </c>
      <c r="AC3" s="188">
        <f>SUM(780+50)</f>
        <v>830</v>
      </c>
      <c r="AD3" s="34">
        <v>200</v>
      </c>
      <c r="AE3" s="122">
        <v>27.39</v>
      </c>
      <c r="AF3" s="150">
        <v>735</v>
      </c>
      <c r="AG3" s="34">
        <v>100</v>
      </c>
      <c r="AH3" s="122">
        <v>12.84</v>
      </c>
      <c r="AI3" s="188">
        <f>SUM(832+50)</f>
        <v>882</v>
      </c>
      <c r="AJ3" s="34">
        <v>400</v>
      </c>
      <c r="AK3" s="122">
        <v>64.24</v>
      </c>
      <c r="AL3" s="150">
        <v>701</v>
      </c>
      <c r="AM3" s="34">
        <v>100</v>
      </c>
      <c r="AN3" s="120">
        <v>13.14</v>
      </c>
      <c r="AO3" s="188">
        <f>SUM(778+50)</f>
        <v>828</v>
      </c>
      <c r="AP3" s="34">
        <v>100</v>
      </c>
      <c r="AQ3" s="120">
        <v>13.17</v>
      </c>
      <c r="AR3" s="150">
        <v>773</v>
      </c>
      <c r="AS3" s="34">
        <v>200</v>
      </c>
      <c r="AT3" s="120">
        <v>27.15</v>
      </c>
      <c r="AU3" s="150">
        <v>754</v>
      </c>
      <c r="AV3" s="34" t="s">
        <v>388</v>
      </c>
      <c r="AW3" s="122">
        <v>27.89</v>
      </c>
      <c r="AX3" s="150">
        <v>695</v>
      </c>
      <c r="AY3" s="34"/>
      <c r="AZ3" s="122"/>
      <c r="BA3" s="150"/>
      <c r="BB3" s="107"/>
      <c r="BC3" s="107"/>
      <c r="BD3" s="107"/>
      <c r="BE3" s="107"/>
      <c r="BF3" s="107"/>
      <c r="BG3" s="107"/>
      <c r="BH3" s="107"/>
      <c r="BI3" s="107"/>
      <c r="BJ3" s="107"/>
      <c r="BK3" s="107">
        <f>COUNTA(BA3,AX3,AU3,AR3,AL3,AI3,AF3,AO3,AC3,Z3,W3,T3,N3,K3)</f>
        <v>12</v>
      </c>
      <c r="BL3" s="148">
        <f>K3</f>
        <v>691</v>
      </c>
      <c r="BM3" s="148">
        <f>N3</f>
        <v>778</v>
      </c>
      <c r="BN3" s="148">
        <f>T3</f>
        <v>755</v>
      </c>
      <c r="BO3" s="148">
        <f>W3</f>
        <v>839</v>
      </c>
      <c r="BP3" s="148">
        <f>Z3</f>
        <v>0</v>
      </c>
      <c r="BQ3" s="148">
        <f>AC3</f>
        <v>830</v>
      </c>
      <c r="BR3" s="148">
        <f>AF3</f>
        <v>735</v>
      </c>
      <c r="BS3" s="148">
        <f>AI3</f>
        <v>882</v>
      </c>
      <c r="BT3" s="148">
        <f>AL3</f>
        <v>701</v>
      </c>
      <c r="BU3" s="148">
        <f>AO3</f>
        <v>828</v>
      </c>
      <c r="BV3" s="148">
        <f>AR3</f>
        <v>773</v>
      </c>
      <c r="BW3" s="148">
        <f>AU3</f>
        <v>754</v>
      </c>
      <c r="BX3" s="148">
        <f>AX3</f>
        <v>695</v>
      </c>
      <c r="BY3" s="148">
        <f>BA3</f>
        <v>0</v>
      </c>
      <c r="BZ3" s="149">
        <f>LARGE(BL3:BY3,1)</f>
        <v>882</v>
      </c>
      <c r="CA3" s="149">
        <f>LARGE(BL3:BY3,2)</f>
        <v>839</v>
      </c>
      <c r="CB3" s="149">
        <f>LARGE(BL3:BY3,3)</f>
        <v>830</v>
      </c>
      <c r="CC3" s="149">
        <f>LARGE(BL3:BY3,4)</f>
        <v>828</v>
      </c>
      <c r="CD3" s="149">
        <f>LARGE(BL3:BY3,5)</f>
        <v>778</v>
      </c>
      <c r="CE3" s="107"/>
      <c r="CF3" s="107"/>
      <c r="CG3" s="107"/>
      <c r="CH3" s="122"/>
      <c r="CI3" s="122"/>
      <c r="CJ3" s="125"/>
      <c r="CK3" s="122">
        <v>100</v>
      </c>
      <c r="CL3" s="120">
        <v>13.15</v>
      </c>
      <c r="CM3" s="152">
        <v>776</v>
      </c>
      <c r="CN3" s="122">
        <v>400</v>
      </c>
      <c r="CO3" s="122">
        <v>62.42</v>
      </c>
      <c r="CP3" s="125">
        <v>758</v>
      </c>
      <c r="CQ3" s="122" t="s">
        <v>296</v>
      </c>
      <c r="CR3" s="120">
        <v>12.94</v>
      </c>
      <c r="CS3" s="173">
        <f>SUM(814+50)</f>
        <v>864</v>
      </c>
      <c r="CT3" s="122" t="s">
        <v>296</v>
      </c>
      <c r="CU3" s="120">
        <v>12.88</v>
      </c>
      <c r="CV3" s="173">
        <f>SUM(825+50)</f>
        <v>875</v>
      </c>
      <c r="CW3" s="122"/>
      <c r="CX3" s="122"/>
      <c r="CY3" s="125"/>
      <c r="CZ3" s="122"/>
      <c r="DA3" s="122"/>
      <c r="DB3" s="12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</row>
    <row r="4" spans="1:132" s="58" customFormat="1" ht="15" customHeight="1">
      <c r="A4" s="397" t="s">
        <v>15</v>
      </c>
      <c r="B4" s="397" t="s">
        <v>54</v>
      </c>
      <c r="C4" s="6" t="s">
        <v>42</v>
      </c>
      <c r="D4" s="6">
        <v>25</v>
      </c>
      <c r="E4" s="6" t="s">
        <v>11</v>
      </c>
      <c r="F4" s="6"/>
      <c r="G4" s="6">
        <f>SUM(AF4,AI4,AR4,AU4,AX4,CJ4)</f>
        <v>4505</v>
      </c>
      <c r="H4" s="6">
        <v>2</v>
      </c>
      <c r="I4" s="140"/>
      <c r="J4" s="141"/>
      <c r="K4" s="142"/>
      <c r="L4" s="143">
        <v>100</v>
      </c>
      <c r="M4" s="141">
        <v>11.94</v>
      </c>
      <c r="N4" s="144">
        <v>630</v>
      </c>
      <c r="O4" s="145">
        <v>300</v>
      </c>
      <c r="P4" s="145">
        <v>39</v>
      </c>
      <c r="Q4" s="146">
        <v>596</v>
      </c>
      <c r="R4" s="154"/>
      <c r="S4" s="147"/>
      <c r="T4" s="142"/>
      <c r="U4" s="143">
        <v>100</v>
      </c>
      <c r="V4" s="147">
        <v>11.98</v>
      </c>
      <c r="W4" s="142">
        <v>620</v>
      </c>
      <c r="X4" s="143"/>
      <c r="Y4" s="141"/>
      <c r="Z4" s="142"/>
      <c r="AA4" s="143">
        <v>100</v>
      </c>
      <c r="AB4" s="147">
        <v>11.9</v>
      </c>
      <c r="AC4" s="396">
        <v>640</v>
      </c>
      <c r="AD4" s="143" t="s">
        <v>255</v>
      </c>
      <c r="AE4" s="141">
        <v>16.6</v>
      </c>
      <c r="AF4" s="209">
        <f>SUM(751+25)</f>
        <v>776</v>
      </c>
      <c r="AG4" s="34" t="s">
        <v>260</v>
      </c>
      <c r="AH4" s="122">
        <v>15.94</v>
      </c>
      <c r="AI4" s="197">
        <f>SUM(744+25)</f>
        <v>769</v>
      </c>
      <c r="AJ4" s="143">
        <v>400</v>
      </c>
      <c r="AK4" s="141">
        <v>55.24</v>
      </c>
      <c r="AL4" s="142">
        <v>576</v>
      </c>
      <c r="AM4" s="143" t="s">
        <v>296</v>
      </c>
      <c r="AN4" s="147">
        <v>11.69</v>
      </c>
      <c r="AO4" s="142">
        <v>694</v>
      </c>
      <c r="AP4" s="143" t="s">
        <v>379</v>
      </c>
      <c r="AQ4" s="141">
        <v>52.76</v>
      </c>
      <c r="AR4" s="209">
        <f>SUM(702+25)</f>
        <v>727</v>
      </c>
      <c r="AS4" s="143" t="s">
        <v>260</v>
      </c>
      <c r="AT4" s="141">
        <v>16.16</v>
      </c>
      <c r="AU4" s="209">
        <f>SUM(711+25)</f>
        <v>736</v>
      </c>
      <c r="AV4" s="143" t="s">
        <v>296</v>
      </c>
      <c r="AW4" s="141">
        <v>11.64</v>
      </c>
      <c r="AX4" s="209">
        <f>SUM(707+25)</f>
        <v>732</v>
      </c>
      <c r="AY4" s="143" t="s">
        <v>379</v>
      </c>
      <c r="AZ4" s="141">
        <v>53.05</v>
      </c>
      <c r="BA4" s="396">
        <v>687</v>
      </c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9"/>
      <c r="CA4" s="149"/>
      <c r="CB4" s="149"/>
      <c r="CC4" s="149"/>
      <c r="CD4" s="149"/>
      <c r="CE4" s="107"/>
      <c r="CF4" s="107"/>
      <c r="CG4" s="107"/>
      <c r="CH4" s="122" t="s">
        <v>381</v>
      </c>
      <c r="CI4" s="122">
        <v>15.97</v>
      </c>
      <c r="CJ4" s="196">
        <f>SUM(740+25)</f>
        <v>765</v>
      </c>
      <c r="CK4" s="122"/>
      <c r="CL4" s="120"/>
      <c r="CM4" s="125"/>
      <c r="CN4" s="122"/>
      <c r="CO4" s="122"/>
      <c r="CP4" s="125"/>
      <c r="CQ4" s="122"/>
      <c r="CR4" s="120"/>
      <c r="CS4" s="125"/>
      <c r="CT4" s="122"/>
      <c r="CU4" s="120"/>
      <c r="CV4" s="125"/>
      <c r="CW4" s="122" t="s">
        <v>296</v>
      </c>
      <c r="CX4" s="122">
        <v>11.93</v>
      </c>
      <c r="CY4" s="125">
        <v>633</v>
      </c>
      <c r="CZ4" s="122">
        <v>400</v>
      </c>
      <c r="DA4" s="122">
        <v>55.21</v>
      </c>
      <c r="DB4" s="125">
        <v>577</v>
      </c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</row>
    <row r="5" spans="1:132" s="58" customFormat="1" ht="15" customHeight="1">
      <c r="A5" s="232" t="s">
        <v>5</v>
      </c>
      <c r="B5" s="232" t="s">
        <v>111</v>
      </c>
      <c r="C5" s="95" t="s">
        <v>42</v>
      </c>
      <c r="D5" s="95">
        <v>25</v>
      </c>
      <c r="E5" s="95" t="s">
        <v>61</v>
      </c>
      <c r="F5" s="95"/>
      <c r="G5" s="95">
        <f>SUM(W5,AC5,AF5,AI5,AX5,CM5)</f>
        <v>4426</v>
      </c>
      <c r="H5" s="95">
        <v>3</v>
      </c>
      <c r="I5" s="140"/>
      <c r="J5" s="141"/>
      <c r="K5" s="142"/>
      <c r="L5" s="143">
        <v>100</v>
      </c>
      <c r="M5" s="122">
        <v>11.84</v>
      </c>
      <c r="N5" s="151">
        <v>655</v>
      </c>
      <c r="O5" s="152">
        <v>300</v>
      </c>
      <c r="P5" s="152">
        <v>38.5</v>
      </c>
      <c r="Q5" s="153">
        <v>630</v>
      </c>
      <c r="R5" s="154">
        <v>200</v>
      </c>
      <c r="S5" s="120">
        <v>24.14</v>
      </c>
      <c r="T5" s="150">
        <v>655</v>
      </c>
      <c r="U5" s="34">
        <v>100</v>
      </c>
      <c r="V5" s="120">
        <v>11.67</v>
      </c>
      <c r="W5" s="197">
        <f>SUM(699+25)</f>
        <v>724</v>
      </c>
      <c r="X5" s="34"/>
      <c r="Y5" s="122"/>
      <c r="Z5" s="150"/>
      <c r="AA5" s="34">
        <v>100</v>
      </c>
      <c r="AB5" s="122">
        <v>11.73</v>
      </c>
      <c r="AC5" s="197">
        <f>SUM(684+25)</f>
        <v>709</v>
      </c>
      <c r="AD5" s="34">
        <v>200</v>
      </c>
      <c r="AE5" s="122">
        <v>23.68</v>
      </c>
      <c r="AF5" s="197">
        <f>SUM(709+25)</f>
        <v>734</v>
      </c>
      <c r="AG5" s="34">
        <v>100</v>
      </c>
      <c r="AH5" s="122">
        <v>11.64</v>
      </c>
      <c r="AI5" s="197">
        <f>SUM(707+25)</f>
        <v>732</v>
      </c>
      <c r="AJ5" s="34"/>
      <c r="AK5" s="122"/>
      <c r="AL5" s="150"/>
      <c r="AM5" s="34" t="s">
        <v>296</v>
      </c>
      <c r="AN5" s="120">
        <v>11.75</v>
      </c>
      <c r="AO5" s="150">
        <v>678</v>
      </c>
      <c r="AP5" s="34"/>
      <c r="AQ5" s="122"/>
      <c r="AR5" s="150"/>
      <c r="AS5" s="34"/>
      <c r="AT5" s="122"/>
      <c r="AU5" s="150"/>
      <c r="AV5" s="34" t="s">
        <v>296</v>
      </c>
      <c r="AW5" s="122">
        <v>11.5</v>
      </c>
      <c r="AX5" s="197">
        <f>SUM(745+25)</f>
        <v>770</v>
      </c>
      <c r="AY5" s="34"/>
      <c r="AZ5" s="122"/>
      <c r="BA5" s="150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9"/>
      <c r="CA5" s="149"/>
      <c r="CB5" s="149"/>
      <c r="CC5" s="149"/>
      <c r="CD5" s="149"/>
      <c r="CE5" s="107"/>
      <c r="CF5" s="107"/>
      <c r="CG5" s="107"/>
      <c r="CH5" s="122"/>
      <c r="CI5" s="122"/>
      <c r="CJ5" s="125"/>
      <c r="CK5" s="122">
        <v>200</v>
      </c>
      <c r="CL5" s="120">
        <v>23.49</v>
      </c>
      <c r="CM5" s="196">
        <f>SUM(732+25)</f>
        <v>757</v>
      </c>
      <c r="CN5" s="122"/>
      <c r="CO5" s="122"/>
      <c r="CP5" s="125"/>
      <c r="CQ5" s="122"/>
      <c r="CR5" s="120"/>
      <c r="CS5" s="125"/>
      <c r="CT5" s="122"/>
      <c r="CU5" s="120"/>
      <c r="CV5" s="125"/>
      <c r="CW5" s="122"/>
      <c r="CX5" s="122"/>
      <c r="CY5" s="125"/>
      <c r="CZ5" s="122"/>
      <c r="DA5" s="122"/>
      <c r="DB5" s="12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</row>
    <row r="6" spans="1:106" ht="15">
      <c r="A6" s="398" t="s">
        <v>14</v>
      </c>
      <c r="B6" s="399" t="s">
        <v>67</v>
      </c>
      <c r="C6" s="400" t="s">
        <v>47</v>
      </c>
      <c r="D6" s="401">
        <v>50</v>
      </c>
      <c r="E6" s="402" t="s">
        <v>11</v>
      </c>
      <c r="F6" s="189"/>
      <c r="G6" s="189">
        <f>SUM(N6,W6,AC6,AI6,AX6,CM6)</f>
        <v>4420</v>
      </c>
      <c r="H6" s="195">
        <v>4</v>
      </c>
      <c r="I6" s="140">
        <v>200</v>
      </c>
      <c r="J6" s="141">
        <v>29.14</v>
      </c>
      <c r="K6" s="142">
        <v>600</v>
      </c>
      <c r="L6" s="143">
        <v>100</v>
      </c>
      <c r="M6" s="141">
        <v>13.44</v>
      </c>
      <c r="N6" s="194">
        <f>SUM(726+50)</f>
        <v>776</v>
      </c>
      <c r="O6" s="145"/>
      <c r="P6" s="145"/>
      <c r="Q6" s="146"/>
      <c r="R6" s="140"/>
      <c r="S6" s="147"/>
      <c r="T6" s="142"/>
      <c r="U6" s="143">
        <v>100</v>
      </c>
      <c r="V6" s="147">
        <v>13.72</v>
      </c>
      <c r="W6" s="187">
        <f>SUM(680+50)</f>
        <v>730</v>
      </c>
      <c r="X6" s="143"/>
      <c r="Y6" s="141"/>
      <c r="Z6" s="142"/>
      <c r="AA6" s="143">
        <v>100</v>
      </c>
      <c r="AB6" s="141">
        <v>13.73</v>
      </c>
      <c r="AC6" s="187">
        <f>SUM(678+50)</f>
        <v>728</v>
      </c>
      <c r="AD6" s="143">
        <v>200</v>
      </c>
      <c r="AE6" s="141">
        <v>28.73</v>
      </c>
      <c r="AF6" s="142">
        <v>630</v>
      </c>
      <c r="AG6" s="143">
        <v>100</v>
      </c>
      <c r="AH6" s="141">
        <v>13.44</v>
      </c>
      <c r="AI6" s="187">
        <f>SUM(726+50)</f>
        <v>776</v>
      </c>
      <c r="AJ6" s="143"/>
      <c r="AK6" s="141"/>
      <c r="AL6" s="142"/>
      <c r="AM6" s="143"/>
      <c r="AN6" s="141"/>
      <c r="AO6" s="142"/>
      <c r="AP6" s="143"/>
      <c r="AQ6" s="141"/>
      <c r="AR6" s="142"/>
      <c r="AS6" s="143"/>
      <c r="AT6" s="141"/>
      <c r="AU6" s="142"/>
      <c r="AV6" s="143" t="s">
        <v>388</v>
      </c>
      <c r="AW6" s="141">
        <v>28.47</v>
      </c>
      <c r="AX6" s="187">
        <f>SUM(650+50)</f>
        <v>700</v>
      </c>
      <c r="AY6" s="143"/>
      <c r="AZ6" s="141"/>
      <c r="BA6" s="142"/>
      <c r="BK6" s="107">
        <f>COUNTA(BA6,AX6,AU6,AR6,AL6,AI6,AF6,AO6,AC6,Z6,W6,T6,N6,K6)</f>
        <v>7</v>
      </c>
      <c r="BL6" s="148">
        <f>K6</f>
        <v>600</v>
      </c>
      <c r="BM6" s="148">
        <f>N6</f>
        <v>776</v>
      </c>
      <c r="BN6" s="148">
        <f>T6</f>
        <v>0</v>
      </c>
      <c r="BO6" s="148">
        <f>W6</f>
        <v>730</v>
      </c>
      <c r="BP6" s="148">
        <f>Z6</f>
        <v>0</v>
      </c>
      <c r="BQ6" s="148">
        <f>AC6</f>
        <v>728</v>
      </c>
      <c r="BR6" s="148">
        <f>AF6</f>
        <v>630</v>
      </c>
      <c r="BS6" s="148">
        <f>AI6</f>
        <v>776</v>
      </c>
      <c r="BT6" s="148">
        <f>AL6</f>
        <v>0</v>
      </c>
      <c r="BU6" s="148">
        <f>AO6</f>
        <v>0</v>
      </c>
      <c r="BV6" s="148">
        <f>AR6</f>
        <v>0</v>
      </c>
      <c r="BW6" s="148">
        <f>AU6</f>
        <v>0</v>
      </c>
      <c r="BX6" s="148">
        <f>AX6</f>
        <v>700</v>
      </c>
      <c r="BY6" s="148">
        <f>BA6</f>
        <v>0</v>
      </c>
      <c r="BZ6" s="149">
        <f>LARGE(BL6:BY6,1)</f>
        <v>776</v>
      </c>
      <c r="CA6" s="149">
        <f>LARGE(BL6:BY6,2)</f>
        <v>776</v>
      </c>
      <c r="CB6" s="149">
        <f>LARGE(BL6:BY6,3)</f>
        <v>730</v>
      </c>
      <c r="CC6" s="149">
        <f>LARGE(BL6:BY6,4)</f>
        <v>728</v>
      </c>
      <c r="CD6" s="149">
        <f>LARGE(BL6:BY6,5)</f>
        <v>700</v>
      </c>
      <c r="CH6" s="122"/>
      <c r="CI6" s="122"/>
      <c r="CJ6" s="125"/>
      <c r="CK6" s="122">
        <v>100</v>
      </c>
      <c r="CL6" s="120">
        <v>13.84</v>
      </c>
      <c r="CM6" s="173">
        <f>SUM(660+50)</f>
        <v>710</v>
      </c>
      <c r="CN6" s="122"/>
      <c r="CO6" s="122"/>
      <c r="CP6" s="125"/>
      <c r="CQ6" s="122"/>
      <c r="CR6" s="120"/>
      <c r="CS6" s="125"/>
      <c r="CT6" s="122"/>
      <c r="CU6" s="120"/>
      <c r="CV6" s="125"/>
      <c r="CW6" s="122"/>
      <c r="CX6" s="122"/>
      <c r="CY6" s="125"/>
      <c r="CZ6" s="122"/>
      <c r="DA6" s="122"/>
      <c r="DB6" s="125"/>
    </row>
    <row r="7" spans="1:106" ht="15">
      <c r="A7" s="233" t="s">
        <v>65</v>
      </c>
      <c r="B7" s="233" t="s">
        <v>66</v>
      </c>
      <c r="C7" s="219" t="s">
        <v>47</v>
      </c>
      <c r="D7" s="219">
        <v>50</v>
      </c>
      <c r="E7" s="189" t="s">
        <v>61</v>
      </c>
      <c r="F7" s="189"/>
      <c r="G7" s="189">
        <f>SUM(Q7,T7,AF7,AI7,AX7,CM7)</f>
        <v>4419</v>
      </c>
      <c r="H7" s="189">
        <v>5</v>
      </c>
      <c r="I7" s="140">
        <v>200</v>
      </c>
      <c r="J7" s="141">
        <v>28.74</v>
      </c>
      <c r="K7" s="142">
        <v>629</v>
      </c>
      <c r="L7" s="143">
        <v>100</v>
      </c>
      <c r="M7" s="141">
        <v>13.94</v>
      </c>
      <c r="N7" s="144">
        <v>644</v>
      </c>
      <c r="O7" s="145">
        <v>300</v>
      </c>
      <c r="P7" s="145">
        <v>46.1</v>
      </c>
      <c r="Q7" s="186">
        <f>SUM(667+50)</f>
        <v>717</v>
      </c>
      <c r="R7" s="140">
        <v>400</v>
      </c>
      <c r="S7" s="147">
        <v>64.7</v>
      </c>
      <c r="T7" s="187">
        <f>SUM(681+50)</f>
        <v>731</v>
      </c>
      <c r="U7" s="34"/>
      <c r="V7" s="147"/>
      <c r="W7" s="150"/>
      <c r="X7" s="34"/>
      <c r="Y7" s="122"/>
      <c r="Z7" s="150"/>
      <c r="AA7" s="34">
        <v>100</v>
      </c>
      <c r="AB7" s="122">
        <v>13.94</v>
      </c>
      <c r="AC7" s="150">
        <v>644</v>
      </c>
      <c r="AD7" s="34">
        <v>200</v>
      </c>
      <c r="AE7" s="122">
        <v>28.24</v>
      </c>
      <c r="AF7" s="188">
        <f>SUM(667+50)</f>
        <v>717</v>
      </c>
      <c r="AG7" s="34">
        <v>400</v>
      </c>
      <c r="AH7" s="122">
        <v>64.64</v>
      </c>
      <c r="AI7" s="188">
        <f>SUM(689+50)</f>
        <v>739</v>
      </c>
      <c r="AJ7" s="34"/>
      <c r="AK7" s="122"/>
      <c r="AL7" s="150"/>
      <c r="AM7" s="34"/>
      <c r="AN7" s="122"/>
      <c r="AO7" s="150"/>
      <c r="AP7" s="34"/>
      <c r="AQ7" s="122"/>
      <c r="AR7" s="150"/>
      <c r="AS7" s="34"/>
      <c r="AT7" s="122"/>
      <c r="AU7" s="150"/>
      <c r="AV7" s="34" t="s">
        <v>388</v>
      </c>
      <c r="AW7" s="122">
        <v>28.2</v>
      </c>
      <c r="AX7" s="188">
        <f>SUM(671+50)</f>
        <v>721</v>
      </c>
      <c r="AY7" s="34"/>
      <c r="AZ7" s="154"/>
      <c r="BA7" s="150"/>
      <c r="BK7" s="107">
        <f>COUNTA(BA7,AX7,AU7,AR7,AL7,AI7,AF7,AO7,AC7,Z7,W7,T7,N7,K7)</f>
        <v>7</v>
      </c>
      <c r="BL7" s="148">
        <f>K7</f>
        <v>629</v>
      </c>
      <c r="BM7" s="148">
        <f>N7</f>
        <v>644</v>
      </c>
      <c r="BN7" s="148">
        <f>T7</f>
        <v>731</v>
      </c>
      <c r="BO7" s="148">
        <f>W7</f>
        <v>0</v>
      </c>
      <c r="BP7" s="148">
        <f>Z7</f>
        <v>0</v>
      </c>
      <c r="BQ7" s="148">
        <f>AC7</f>
        <v>644</v>
      </c>
      <c r="BR7" s="148">
        <f>AF7</f>
        <v>717</v>
      </c>
      <c r="BS7" s="148">
        <f>AI7</f>
        <v>739</v>
      </c>
      <c r="BT7" s="148">
        <f>AL7</f>
        <v>0</v>
      </c>
      <c r="BU7" s="148">
        <f>AO7</f>
        <v>0</v>
      </c>
      <c r="BV7" s="148">
        <f>AR7</f>
        <v>0</v>
      </c>
      <c r="BW7" s="148">
        <f>AU7</f>
        <v>0</v>
      </c>
      <c r="BX7" s="148">
        <f>AX7</f>
        <v>721</v>
      </c>
      <c r="BY7" s="148">
        <f>BA7</f>
        <v>0</v>
      </c>
      <c r="BZ7" s="149">
        <f>LARGE(BL7:BY7,1)</f>
        <v>739</v>
      </c>
      <c r="CA7" s="149">
        <f>LARGE(BL7:BY7,2)</f>
        <v>731</v>
      </c>
      <c r="CB7" s="149">
        <f>LARGE(BL7:BY7,3)</f>
        <v>721</v>
      </c>
      <c r="CC7" s="149">
        <f>LARGE(BL7:BY7,4)</f>
        <v>717</v>
      </c>
      <c r="CD7" s="149">
        <f>LARGE(BL7:BY7,5)</f>
        <v>644</v>
      </c>
      <c r="CH7" s="122"/>
      <c r="CI7" s="122"/>
      <c r="CJ7" s="125"/>
      <c r="CK7" s="122">
        <v>400</v>
      </c>
      <c r="CL7" s="120">
        <v>62.85</v>
      </c>
      <c r="CM7" s="173">
        <f>SUM(744+50)</f>
        <v>794</v>
      </c>
      <c r="CN7" s="122"/>
      <c r="CO7" s="122"/>
      <c r="CP7" s="125"/>
      <c r="CQ7" s="122"/>
      <c r="CR7" s="120"/>
      <c r="CS7" s="125"/>
      <c r="CT7" s="122"/>
      <c r="CU7" s="120"/>
      <c r="CV7" s="125"/>
      <c r="CW7" s="122"/>
      <c r="CX7" s="122"/>
      <c r="CY7" s="125"/>
      <c r="CZ7" s="122"/>
      <c r="DA7" s="122"/>
      <c r="DB7" s="125"/>
    </row>
    <row r="8" spans="1:106" ht="15">
      <c r="A8" s="234" t="s">
        <v>45</v>
      </c>
      <c r="B8" s="234" t="s">
        <v>46</v>
      </c>
      <c r="C8" s="5" t="s">
        <v>47</v>
      </c>
      <c r="D8" s="22">
        <v>50</v>
      </c>
      <c r="E8" s="5" t="s">
        <v>11</v>
      </c>
      <c r="F8" s="5"/>
      <c r="G8" s="5">
        <f>SUM(N8,T8,W8,AC8,AI8,AX8)</f>
        <v>4139</v>
      </c>
      <c r="H8" s="5">
        <v>6</v>
      </c>
      <c r="I8" s="140"/>
      <c r="J8" s="141"/>
      <c r="K8" s="142"/>
      <c r="L8" s="143">
        <v>100</v>
      </c>
      <c r="M8" s="122">
        <v>13.74</v>
      </c>
      <c r="N8" s="191">
        <f>SUM(676+50)</f>
        <v>726</v>
      </c>
      <c r="O8" s="152"/>
      <c r="P8" s="152"/>
      <c r="Q8" s="153"/>
      <c r="R8" s="154">
        <v>200</v>
      </c>
      <c r="S8" s="120">
        <v>28.94</v>
      </c>
      <c r="T8" s="188">
        <f>SUM(614+50)</f>
        <v>664</v>
      </c>
      <c r="U8" s="34">
        <v>100</v>
      </c>
      <c r="V8" s="120">
        <v>13.81</v>
      </c>
      <c r="W8" s="188">
        <f>SUM(665+50)</f>
        <v>715</v>
      </c>
      <c r="X8" s="34"/>
      <c r="Y8" s="122"/>
      <c r="Z8" s="150"/>
      <c r="AA8" s="34">
        <v>100</v>
      </c>
      <c r="AB8" s="122">
        <v>14.27</v>
      </c>
      <c r="AC8" s="188">
        <f>SUM(592+50)</f>
        <v>642</v>
      </c>
      <c r="AD8" s="34"/>
      <c r="AE8" s="122"/>
      <c r="AF8" s="150"/>
      <c r="AG8" s="34">
        <v>100</v>
      </c>
      <c r="AH8" s="122">
        <v>13.74</v>
      </c>
      <c r="AI8" s="188">
        <f>SUM(676+50)</f>
        <v>726</v>
      </c>
      <c r="AJ8" s="34"/>
      <c r="AK8" s="122"/>
      <c r="AL8" s="150"/>
      <c r="AM8" s="34"/>
      <c r="AN8" s="122"/>
      <c r="AO8" s="150"/>
      <c r="AP8" s="34"/>
      <c r="AQ8" s="122"/>
      <c r="AR8" s="150"/>
      <c r="AS8" s="34"/>
      <c r="AT8" s="122"/>
      <c r="AU8" s="150"/>
      <c r="AV8" s="34" t="s">
        <v>388</v>
      </c>
      <c r="AW8" s="122">
        <v>28.26</v>
      </c>
      <c r="AX8" s="188">
        <v>666</v>
      </c>
      <c r="AY8" s="34"/>
      <c r="AZ8" s="34"/>
      <c r="BA8" s="150"/>
      <c r="CH8" s="122"/>
      <c r="CI8" s="122"/>
      <c r="CJ8" s="125"/>
      <c r="CK8" s="122"/>
      <c r="CL8" s="120"/>
      <c r="CM8" s="125"/>
      <c r="CN8" s="122"/>
      <c r="CO8" s="122"/>
      <c r="CP8" s="125"/>
      <c r="CQ8" s="122"/>
      <c r="CR8" s="120"/>
      <c r="CS8" s="125"/>
      <c r="CT8" s="122"/>
      <c r="CU8" s="120"/>
      <c r="CV8" s="125"/>
      <c r="CW8" s="122"/>
      <c r="CX8" s="122"/>
      <c r="CY8" s="125"/>
      <c r="CZ8" s="122"/>
      <c r="DA8" s="122"/>
      <c r="DB8" s="125"/>
    </row>
    <row r="9" spans="1:106" ht="15">
      <c r="A9" s="235" t="s">
        <v>1</v>
      </c>
      <c r="B9" s="235" t="s">
        <v>43</v>
      </c>
      <c r="C9" s="222" t="s">
        <v>110</v>
      </c>
      <c r="D9" s="229">
        <v>25</v>
      </c>
      <c r="E9" s="195" t="s">
        <v>61</v>
      </c>
      <c r="F9" s="195"/>
      <c r="G9" s="189">
        <f>SUM(N9,Q9,T9,AC9,AI9,AL9)</f>
        <v>4057</v>
      </c>
      <c r="H9" s="195">
        <v>7</v>
      </c>
      <c r="I9" s="140"/>
      <c r="J9" s="141"/>
      <c r="K9" s="142"/>
      <c r="L9" s="143">
        <v>100</v>
      </c>
      <c r="M9" s="141">
        <v>13.24</v>
      </c>
      <c r="N9" s="194">
        <f>SUM(761+25)</f>
        <v>786</v>
      </c>
      <c r="O9" s="145">
        <v>300</v>
      </c>
      <c r="P9" s="145">
        <v>46.7</v>
      </c>
      <c r="Q9" s="186">
        <f>SUM(632+25)</f>
        <v>657</v>
      </c>
      <c r="R9" s="140">
        <v>200</v>
      </c>
      <c r="S9" s="147">
        <v>28.54</v>
      </c>
      <c r="T9" s="187">
        <f>SUM(644+25)</f>
        <v>669</v>
      </c>
      <c r="U9" s="143"/>
      <c r="V9" s="147"/>
      <c r="W9" s="142"/>
      <c r="X9" s="143"/>
      <c r="Y9" s="141"/>
      <c r="Z9" s="142"/>
      <c r="AA9" s="143">
        <v>200</v>
      </c>
      <c r="AB9" s="141">
        <v>28.94</v>
      </c>
      <c r="AC9" s="187">
        <f>SUM(614+25)</f>
        <v>639</v>
      </c>
      <c r="AD9" s="143"/>
      <c r="AE9" s="141"/>
      <c r="AF9" s="142"/>
      <c r="AG9" s="143" t="s">
        <v>262</v>
      </c>
      <c r="AH9" s="141">
        <v>17.54</v>
      </c>
      <c r="AI9" s="187">
        <f>SUM(617+25)</f>
        <v>642</v>
      </c>
      <c r="AJ9" s="143">
        <v>400</v>
      </c>
      <c r="AK9" s="141">
        <v>68.34</v>
      </c>
      <c r="AL9" s="187">
        <f>SUM(639+25)</f>
        <v>664</v>
      </c>
      <c r="AM9" s="143"/>
      <c r="AN9" s="141"/>
      <c r="AO9" s="142"/>
      <c r="AP9" s="143"/>
      <c r="AQ9" s="141"/>
      <c r="AR9" s="142"/>
      <c r="AS9" s="143"/>
      <c r="AT9" s="141"/>
      <c r="AU9" s="142"/>
      <c r="AV9" s="143"/>
      <c r="AW9" s="141"/>
      <c r="AX9" s="142"/>
      <c r="AY9" s="143"/>
      <c r="AZ9" s="141"/>
      <c r="BA9" s="142"/>
      <c r="CH9" s="122"/>
      <c r="CI9" s="122"/>
      <c r="CJ9" s="125"/>
      <c r="CK9" s="122"/>
      <c r="CL9" s="120"/>
      <c r="CM9" s="125"/>
      <c r="CN9" s="122"/>
      <c r="CO9" s="122"/>
      <c r="CP9" s="125"/>
      <c r="CQ9" s="122"/>
      <c r="CR9" s="120"/>
      <c r="CS9" s="125"/>
      <c r="CT9" s="122"/>
      <c r="CU9" s="120"/>
      <c r="CV9" s="125"/>
      <c r="CW9" s="122"/>
      <c r="CX9" s="122"/>
      <c r="CY9" s="125"/>
      <c r="CZ9" s="122"/>
      <c r="DA9" s="122"/>
      <c r="DB9" s="125"/>
    </row>
    <row r="10" spans="1:106" ht="15">
      <c r="A10" s="231" t="s">
        <v>0</v>
      </c>
      <c r="B10" s="231" t="s">
        <v>49</v>
      </c>
      <c r="C10" s="189" t="s">
        <v>47</v>
      </c>
      <c r="D10" s="189">
        <v>50</v>
      </c>
      <c r="E10" s="189" t="s">
        <v>61</v>
      </c>
      <c r="F10" s="189"/>
      <c r="G10" s="189">
        <f>SUM(K10,N10,W10,AI10,AX10,CM10)</f>
        <v>3838</v>
      </c>
      <c r="H10" s="189">
        <v>8</v>
      </c>
      <c r="I10" s="140">
        <v>200</v>
      </c>
      <c r="J10" s="141">
        <v>29.44</v>
      </c>
      <c r="K10" s="187">
        <f>SUM(578+50)</f>
        <v>628</v>
      </c>
      <c r="L10" s="143">
        <v>100</v>
      </c>
      <c r="M10" s="122">
        <v>14.34</v>
      </c>
      <c r="N10" s="191">
        <f>SUM(582+50)</f>
        <v>632</v>
      </c>
      <c r="O10" s="152"/>
      <c r="P10" s="152"/>
      <c r="Q10" s="153"/>
      <c r="R10" s="154">
        <v>200</v>
      </c>
      <c r="S10" s="120">
        <v>29.54</v>
      </c>
      <c r="T10" s="150">
        <v>571</v>
      </c>
      <c r="U10" s="34">
        <v>100</v>
      </c>
      <c r="V10" s="120">
        <v>14.21</v>
      </c>
      <c r="W10" s="188">
        <f>SUM(601+50)</f>
        <v>651</v>
      </c>
      <c r="X10" s="34">
        <v>200</v>
      </c>
      <c r="Y10" s="120">
        <v>29.56</v>
      </c>
      <c r="Z10" s="150">
        <v>569</v>
      </c>
      <c r="AA10" s="34">
        <v>100</v>
      </c>
      <c r="AB10" s="122">
        <v>14.38</v>
      </c>
      <c r="AC10" s="150">
        <v>528</v>
      </c>
      <c r="AD10" s="34">
        <v>200</v>
      </c>
      <c r="AE10" s="122">
        <v>30.14</v>
      </c>
      <c r="AF10" s="150">
        <v>528</v>
      </c>
      <c r="AG10" s="34">
        <v>100</v>
      </c>
      <c r="AH10" s="122">
        <v>14.24</v>
      </c>
      <c r="AI10" s="188">
        <f>SUM(592+50)</f>
        <v>642</v>
      </c>
      <c r="AJ10" s="34"/>
      <c r="AK10" s="122"/>
      <c r="AL10" s="150"/>
      <c r="AM10" s="34"/>
      <c r="AN10" s="122"/>
      <c r="AO10" s="150"/>
      <c r="AP10" s="34"/>
      <c r="AQ10" s="122"/>
      <c r="AR10" s="150"/>
      <c r="AS10" s="34"/>
      <c r="AT10" s="122"/>
      <c r="AU10" s="150"/>
      <c r="AV10" s="34" t="s">
        <v>388</v>
      </c>
      <c r="AW10" s="122">
        <v>29.21</v>
      </c>
      <c r="AX10" s="188">
        <f>SUM(594+50)</f>
        <v>644</v>
      </c>
      <c r="AY10" s="34"/>
      <c r="AZ10" s="122"/>
      <c r="BA10" s="150"/>
      <c r="BK10" s="107">
        <f>COUNTA(BA10,AX10,AU10,AR10,AL10,AI10,AF10,AO10,AC10,Z10,W10,T10,N10,K10)</f>
        <v>9</v>
      </c>
      <c r="BL10" s="148">
        <f>K10</f>
        <v>628</v>
      </c>
      <c r="BM10" s="148">
        <f>N10</f>
        <v>632</v>
      </c>
      <c r="BN10" s="148">
        <f>T10</f>
        <v>571</v>
      </c>
      <c r="BO10" s="148">
        <f>W10</f>
        <v>651</v>
      </c>
      <c r="BP10" s="148">
        <f>Z10</f>
        <v>569</v>
      </c>
      <c r="BQ10" s="148">
        <f>AC10</f>
        <v>528</v>
      </c>
      <c r="BR10" s="148">
        <f>AF10</f>
        <v>528</v>
      </c>
      <c r="BS10" s="148">
        <f>AI10</f>
        <v>642</v>
      </c>
      <c r="BT10" s="148">
        <f>AL10</f>
        <v>0</v>
      </c>
      <c r="BU10" s="148">
        <f>AO10</f>
        <v>0</v>
      </c>
      <c r="BV10" s="148">
        <f>AR10</f>
        <v>0</v>
      </c>
      <c r="BW10" s="148">
        <f>AU10</f>
        <v>0</v>
      </c>
      <c r="BX10" s="148">
        <f>AX10</f>
        <v>644</v>
      </c>
      <c r="BY10" s="148">
        <f>BA10</f>
        <v>0</v>
      </c>
      <c r="BZ10" s="149">
        <f>LARGE(BL10:BY10,1)</f>
        <v>651</v>
      </c>
      <c r="CA10" s="149">
        <f>LARGE(BL10:BY10,2)</f>
        <v>644</v>
      </c>
      <c r="CB10" s="149">
        <f>LARGE(BL10:BY10,3)</f>
        <v>642</v>
      </c>
      <c r="CC10" s="149">
        <f>LARGE(BL10:BY10,4)</f>
        <v>632</v>
      </c>
      <c r="CD10" s="149">
        <f>LARGE(BL10:BY10,5)</f>
        <v>628</v>
      </c>
      <c r="CH10" s="122"/>
      <c r="CI10" s="122"/>
      <c r="CJ10" s="125"/>
      <c r="CK10" s="122">
        <v>100</v>
      </c>
      <c r="CL10" s="120">
        <v>14.28</v>
      </c>
      <c r="CM10" s="173">
        <f>SUM(591+50)</f>
        <v>641</v>
      </c>
      <c r="CN10" s="122"/>
      <c r="CO10" s="122"/>
      <c r="CP10" s="125"/>
      <c r="CQ10" s="122"/>
      <c r="CR10" s="120"/>
      <c r="CS10" s="125"/>
      <c r="CT10" s="122"/>
      <c r="CU10" s="120"/>
      <c r="CV10" s="125"/>
      <c r="CW10" s="122"/>
      <c r="CX10" s="122"/>
      <c r="CY10" s="125"/>
      <c r="CZ10" s="122"/>
      <c r="DA10" s="122"/>
      <c r="DB10" s="125"/>
    </row>
    <row r="11" spans="1:106" ht="15">
      <c r="A11" s="236" t="s">
        <v>79</v>
      </c>
      <c r="B11" s="236" t="s">
        <v>80</v>
      </c>
      <c r="C11" s="11" t="s">
        <v>35</v>
      </c>
      <c r="D11" s="8">
        <v>50</v>
      </c>
      <c r="E11" s="12" t="s">
        <v>11</v>
      </c>
      <c r="F11" s="12"/>
      <c r="G11" s="6">
        <f>SUM(N11,W11,AC11,AI11,AX11,CM11)</f>
        <v>3541</v>
      </c>
      <c r="H11" s="12">
        <v>9</v>
      </c>
      <c r="I11" s="140">
        <v>200</v>
      </c>
      <c r="J11" s="155">
        <v>25.74</v>
      </c>
      <c r="K11" s="142">
        <v>483</v>
      </c>
      <c r="L11" s="143">
        <v>100</v>
      </c>
      <c r="M11" s="122">
        <v>12.34</v>
      </c>
      <c r="N11" s="198">
        <f>SUM(534+50)</f>
        <v>584</v>
      </c>
      <c r="O11" s="152"/>
      <c r="P11" s="152"/>
      <c r="Q11" s="153"/>
      <c r="R11" s="154">
        <v>200</v>
      </c>
      <c r="S11" s="120">
        <v>26.84</v>
      </c>
      <c r="T11" s="150">
        <v>474</v>
      </c>
      <c r="U11" s="34">
        <v>100</v>
      </c>
      <c r="V11" s="120">
        <v>12.33</v>
      </c>
      <c r="W11" s="197">
        <f>SUM(537+50)</f>
        <v>587</v>
      </c>
      <c r="X11" s="34"/>
      <c r="Y11" s="122"/>
      <c r="Z11" s="150"/>
      <c r="AA11" s="34">
        <v>100</v>
      </c>
      <c r="AB11" s="122">
        <v>12.48</v>
      </c>
      <c r="AC11" s="197">
        <f>SUM(503+50)</f>
        <v>553</v>
      </c>
      <c r="AD11" s="34">
        <v>200</v>
      </c>
      <c r="AE11" s="122">
        <v>25.87</v>
      </c>
      <c r="AF11" s="150">
        <v>471</v>
      </c>
      <c r="AG11" s="34">
        <v>100</v>
      </c>
      <c r="AH11" s="122">
        <v>12.64</v>
      </c>
      <c r="AI11" s="197">
        <f>SUM(512+50)</f>
        <v>562</v>
      </c>
      <c r="AJ11" s="34"/>
      <c r="AK11" s="122"/>
      <c r="AL11" s="150"/>
      <c r="AM11" s="34"/>
      <c r="AN11" s="122"/>
      <c r="AO11" s="150"/>
      <c r="AP11" s="34"/>
      <c r="AQ11" s="122"/>
      <c r="AR11" s="150"/>
      <c r="AS11" s="34"/>
      <c r="AT11" s="122"/>
      <c r="AU11" s="150"/>
      <c r="AV11" s="34" t="s">
        <v>296</v>
      </c>
      <c r="AW11" s="122">
        <v>12.17</v>
      </c>
      <c r="AX11" s="197">
        <f>SUM(574+50)</f>
        <v>624</v>
      </c>
      <c r="AY11" s="34"/>
      <c r="AZ11" s="122"/>
      <c r="BA11" s="150"/>
      <c r="BK11" s="107">
        <f>COUNTA(BA11,AX11,AU11,AR11,AL11,AI11,AF11,AO11,AC11,Z11,W11,T11,N11,K11)</f>
        <v>8</v>
      </c>
      <c r="BL11" s="148">
        <f>K11</f>
        <v>483</v>
      </c>
      <c r="BM11" s="148">
        <f>N11</f>
        <v>584</v>
      </c>
      <c r="BN11" s="148">
        <f>T11</f>
        <v>474</v>
      </c>
      <c r="BO11" s="148">
        <f>W11</f>
        <v>587</v>
      </c>
      <c r="BP11" s="148">
        <f>Z11</f>
        <v>0</v>
      </c>
      <c r="BQ11" s="148">
        <f>AC11</f>
        <v>553</v>
      </c>
      <c r="BR11" s="148">
        <f>AF11</f>
        <v>471</v>
      </c>
      <c r="BS11" s="148">
        <f>AI11</f>
        <v>562</v>
      </c>
      <c r="BT11" s="148">
        <f>AL11</f>
        <v>0</v>
      </c>
      <c r="BU11" s="148">
        <f>AO11</f>
        <v>0</v>
      </c>
      <c r="BV11" s="148">
        <f>AR11</f>
        <v>0</v>
      </c>
      <c r="BW11" s="148">
        <f>AU11</f>
        <v>0</v>
      </c>
      <c r="BX11" s="148">
        <f>AX11</f>
        <v>624</v>
      </c>
      <c r="BY11" s="148">
        <f>BA11</f>
        <v>0</v>
      </c>
      <c r="BZ11" s="149">
        <f>LARGE(BL11:BY11,1)</f>
        <v>624</v>
      </c>
      <c r="CA11" s="149">
        <f>LARGE(BL11:BY11,2)</f>
        <v>587</v>
      </c>
      <c r="CB11" s="149">
        <f>LARGE(BL11:BY11,3)</f>
        <v>584</v>
      </c>
      <c r="CC11" s="149">
        <f>LARGE(BL11:BY11,4)</f>
        <v>562</v>
      </c>
      <c r="CD11" s="149">
        <f>LARGE(BL11:BY11,5)</f>
        <v>553</v>
      </c>
      <c r="CH11" s="122"/>
      <c r="CI11" s="122"/>
      <c r="CJ11" s="125"/>
      <c r="CK11" s="122">
        <v>200</v>
      </c>
      <c r="CL11" s="120">
        <v>24.8</v>
      </c>
      <c r="CM11" s="196">
        <f>SUM(581+50)</f>
        <v>631</v>
      </c>
      <c r="CN11" s="122"/>
      <c r="CO11" s="122"/>
      <c r="CP11" s="125"/>
      <c r="CQ11" s="122"/>
      <c r="CR11" s="120"/>
      <c r="CS11" s="125"/>
      <c r="CT11" s="122"/>
      <c r="CU11" s="120"/>
      <c r="CV11" s="125"/>
      <c r="CW11" s="122"/>
      <c r="CX11" s="122"/>
      <c r="CY11" s="125"/>
      <c r="CZ11" s="122"/>
      <c r="DA11" s="122"/>
      <c r="DB11" s="125"/>
    </row>
    <row r="12" spans="1:106" ht="15">
      <c r="A12" s="237" t="s">
        <v>2</v>
      </c>
      <c r="B12" s="237" t="s">
        <v>48</v>
      </c>
      <c r="C12" s="16" t="s">
        <v>47</v>
      </c>
      <c r="D12" s="69">
        <v>50</v>
      </c>
      <c r="E12" s="15" t="s">
        <v>61</v>
      </c>
      <c r="F12" s="5"/>
      <c r="G12" s="5">
        <f>SUM(K12,N12,T12,W12,Z12,AC12)</f>
        <v>3539</v>
      </c>
      <c r="H12" s="15">
        <v>10</v>
      </c>
      <c r="I12" s="140">
        <v>200</v>
      </c>
      <c r="J12" s="141">
        <v>30.64</v>
      </c>
      <c r="K12" s="187">
        <f>SUM(495+50)</f>
        <v>545</v>
      </c>
      <c r="L12" s="143">
        <v>100</v>
      </c>
      <c r="M12" s="122">
        <v>14.14</v>
      </c>
      <c r="N12" s="191">
        <f>SUM(612+50)</f>
        <v>662</v>
      </c>
      <c r="O12" s="152"/>
      <c r="P12" s="152"/>
      <c r="Q12" s="153"/>
      <c r="R12" s="154">
        <v>200</v>
      </c>
      <c r="S12" s="120">
        <v>29.94</v>
      </c>
      <c r="T12" s="214">
        <f>SUM(542+50)</f>
        <v>592</v>
      </c>
      <c r="U12" s="34">
        <v>100</v>
      </c>
      <c r="V12" s="120">
        <v>14.39</v>
      </c>
      <c r="W12" s="188">
        <f>SUM(574+50)</f>
        <v>624</v>
      </c>
      <c r="X12" s="34">
        <v>200</v>
      </c>
      <c r="Y12" s="120">
        <v>30.81</v>
      </c>
      <c r="Z12" s="188">
        <f>SUM(483+50)</f>
        <v>533</v>
      </c>
      <c r="AA12" s="34">
        <v>200</v>
      </c>
      <c r="AB12" s="122">
        <v>30.08</v>
      </c>
      <c r="AC12" s="188">
        <f>SUM(533+50)</f>
        <v>583</v>
      </c>
      <c r="AD12" s="34"/>
      <c r="AE12" s="122"/>
      <c r="AF12" s="150"/>
      <c r="AG12" s="34"/>
      <c r="AH12" s="122"/>
      <c r="AI12" s="150"/>
      <c r="AJ12" s="34"/>
      <c r="AK12" s="122"/>
      <c r="AL12" s="150"/>
      <c r="AM12" s="34"/>
      <c r="AN12" s="122"/>
      <c r="AO12" s="150"/>
      <c r="AP12" s="34"/>
      <c r="AQ12" s="122"/>
      <c r="AR12" s="150"/>
      <c r="AS12" s="34"/>
      <c r="AT12" s="122"/>
      <c r="AU12" s="150"/>
      <c r="AV12" s="34"/>
      <c r="AW12" s="122"/>
      <c r="AX12" s="150"/>
      <c r="AY12" s="34"/>
      <c r="AZ12" s="122"/>
      <c r="BA12" s="150"/>
      <c r="BK12" s="107">
        <f>COUNTA(BA12,AX12,AU12,AR12,AL12,AI12,AF12,AO12,AC12,Z12,W12,T12,N12,K12)</f>
        <v>6</v>
      </c>
      <c r="BL12" s="148">
        <f>K12</f>
        <v>545</v>
      </c>
      <c r="BM12" s="148">
        <f>N12</f>
        <v>662</v>
      </c>
      <c r="BN12" s="148">
        <f>T12</f>
        <v>592</v>
      </c>
      <c r="BO12" s="148">
        <f>W12</f>
        <v>624</v>
      </c>
      <c r="BP12" s="148">
        <f>Z12</f>
        <v>533</v>
      </c>
      <c r="BQ12" s="148">
        <f>AC12</f>
        <v>583</v>
      </c>
      <c r="BR12" s="148">
        <f>AF12</f>
        <v>0</v>
      </c>
      <c r="BS12" s="148">
        <f>AI12</f>
        <v>0</v>
      </c>
      <c r="BT12" s="148">
        <f>AL12</f>
        <v>0</v>
      </c>
      <c r="BU12" s="148">
        <f>AO12</f>
        <v>0</v>
      </c>
      <c r="BV12" s="148">
        <f>AR12</f>
        <v>0</v>
      </c>
      <c r="BW12" s="148">
        <f>AU12</f>
        <v>0</v>
      </c>
      <c r="BX12" s="148">
        <f>AX12</f>
        <v>0</v>
      </c>
      <c r="BY12" s="148">
        <f>BA12</f>
        <v>0</v>
      </c>
      <c r="BZ12" s="149">
        <f>LARGE(BL12:BY12,1)</f>
        <v>662</v>
      </c>
      <c r="CA12" s="149">
        <f>LARGE(BL12:BY12,2)</f>
        <v>624</v>
      </c>
      <c r="CB12" s="149">
        <f>LARGE(BL12:BY12,3)</f>
        <v>592</v>
      </c>
      <c r="CC12" s="149">
        <f>LARGE(BL12:BY12,4)</f>
        <v>583</v>
      </c>
      <c r="CD12" s="149">
        <f>LARGE(BL12:BY12,5)</f>
        <v>545</v>
      </c>
      <c r="CH12" s="122"/>
      <c r="CI12" s="122"/>
      <c r="CJ12" s="125"/>
      <c r="CK12" s="122"/>
      <c r="CL12" s="120"/>
      <c r="CM12" s="125"/>
      <c r="CN12" s="122"/>
      <c r="CO12" s="122"/>
      <c r="CP12" s="125"/>
      <c r="CQ12" s="122"/>
      <c r="CR12" s="120"/>
      <c r="CS12" s="125"/>
      <c r="CT12" s="122"/>
      <c r="CU12" s="120"/>
      <c r="CV12" s="125"/>
      <c r="CW12" s="122"/>
      <c r="CX12" s="122"/>
      <c r="CY12" s="125"/>
      <c r="CZ12" s="122"/>
      <c r="DA12" s="122"/>
      <c r="DB12" s="125"/>
    </row>
    <row r="13" spans="1:106" ht="15">
      <c r="A13" s="231" t="s">
        <v>16</v>
      </c>
      <c r="B13" s="231" t="s">
        <v>71</v>
      </c>
      <c r="C13" s="189" t="s">
        <v>47</v>
      </c>
      <c r="D13" s="190">
        <v>50</v>
      </c>
      <c r="E13" s="189" t="s">
        <v>61</v>
      </c>
      <c r="F13" s="189"/>
      <c r="G13" s="189">
        <f>SUM(N13,Q13,T13,AC13,AI13,CM13,)</f>
        <v>3228</v>
      </c>
      <c r="H13" s="189">
        <v>11</v>
      </c>
      <c r="I13" s="140">
        <v>200</v>
      </c>
      <c r="J13" s="141">
        <v>31.84</v>
      </c>
      <c r="K13" s="142">
        <v>418</v>
      </c>
      <c r="L13" s="143">
        <v>100</v>
      </c>
      <c r="M13" s="141">
        <v>14.74</v>
      </c>
      <c r="N13" s="194">
        <f>SUM(522+50)</f>
        <v>572</v>
      </c>
      <c r="O13" s="145">
        <v>300</v>
      </c>
      <c r="P13" s="145">
        <v>49.8</v>
      </c>
      <c r="Q13" s="186">
        <f>SUM(517+50)</f>
        <v>567</v>
      </c>
      <c r="R13" s="140">
        <v>400</v>
      </c>
      <c r="S13" s="147">
        <v>72.44</v>
      </c>
      <c r="T13" s="187">
        <f>SUM(475+50)</f>
        <v>525</v>
      </c>
      <c r="U13" s="34"/>
      <c r="V13" s="147"/>
      <c r="W13" s="150"/>
      <c r="X13" s="34"/>
      <c r="Y13" s="122"/>
      <c r="Z13" s="150"/>
      <c r="AA13" s="34">
        <v>200</v>
      </c>
      <c r="AB13" s="120">
        <v>31.4</v>
      </c>
      <c r="AC13" s="188">
        <f>SUM(445+50)</f>
        <v>495</v>
      </c>
      <c r="AD13" s="34"/>
      <c r="AE13" s="122"/>
      <c r="AF13" s="150"/>
      <c r="AG13" s="34">
        <v>400</v>
      </c>
      <c r="AH13" s="122">
        <v>70.44</v>
      </c>
      <c r="AI13" s="188">
        <f>SUM(524+50)</f>
        <v>574</v>
      </c>
      <c r="AJ13" s="34"/>
      <c r="AK13" s="122"/>
      <c r="AL13" s="150"/>
      <c r="AM13" s="34"/>
      <c r="AN13" s="122"/>
      <c r="AO13" s="150"/>
      <c r="AP13" s="34"/>
      <c r="AQ13" s="122"/>
      <c r="AR13" s="150"/>
      <c r="AS13" s="34"/>
      <c r="AT13" s="122"/>
      <c r="AU13" s="150"/>
      <c r="AV13" s="34"/>
      <c r="AW13" s="122"/>
      <c r="AX13" s="150"/>
      <c r="AY13" s="34"/>
      <c r="AZ13" s="122"/>
      <c r="BA13" s="150"/>
      <c r="BK13" s="107">
        <f>COUNTA(BA13,AX13,AU13,AR13,AL13,AI13,AF13,AO13,AC13,Z13,W13,T13,N13,K13)</f>
        <v>5</v>
      </c>
      <c r="BL13" s="148">
        <f>K13</f>
        <v>418</v>
      </c>
      <c r="BM13" s="148">
        <f>N13</f>
        <v>572</v>
      </c>
      <c r="BN13" s="148">
        <f>T13</f>
        <v>525</v>
      </c>
      <c r="BO13" s="148">
        <f>W13</f>
        <v>0</v>
      </c>
      <c r="BP13" s="148">
        <f>Z13</f>
        <v>0</v>
      </c>
      <c r="BQ13" s="148">
        <f>AC13</f>
        <v>495</v>
      </c>
      <c r="BR13" s="148">
        <f>AF13</f>
        <v>0</v>
      </c>
      <c r="BS13" s="148">
        <f>AI13</f>
        <v>574</v>
      </c>
      <c r="BT13" s="148">
        <f>AL13</f>
        <v>0</v>
      </c>
      <c r="BU13" s="148">
        <f>AO13</f>
        <v>0</v>
      </c>
      <c r="BV13" s="148">
        <f>AR13</f>
        <v>0</v>
      </c>
      <c r="BW13" s="148">
        <f>AU13</f>
        <v>0</v>
      </c>
      <c r="BX13" s="148">
        <f>AX13</f>
        <v>0</v>
      </c>
      <c r="BY13" s="148">
        <f>BA13</f>
        <v>0</v>
      </c>
      <c r="BZ13" s="149">
        <f>LARGE(BL13:BY13,1)</f>
        <v>574</v>
      </c>
      <c r="CA13" s="149">
        <f>LARGE(BL13:BY13,2)</f>
        <v>572</v>
      </c>
      <c r="CB13" s="149">
        <f>LARGE(BL13:BY13,3)</f>
        <v>525</v>
      </c>
      <c r="CC13" s="149">
        <f>LARGE(BL13:BY13,4)</f>
        <v>495</v>
      </c>
      <c r="CD13" s="149">
        <f>LARGE(BL13:BY13,5)</f>
        <v>418</v>
      </c>
      <c r="CH13" s="122"/>
      <c r="CI13" s="122"/>
      <c r="CJ13" s="125"/>
      <c r="CK13" s="122">
        <v>400</v>
      </c>
      <c r="CL13" s="120">
        <v>73.59</v>
      </c>
      <c r="CM13" s="173">
        <f>SUM(445+50)</f>
        <v>495</v>
      </c>
      <c r="CN13" s="122"/>
      <c r="CO13" s="122"/>
      <c r="CP13" s="125"/>
      <c r="CQ13" s="122"/>
      <c r="CR13" s="120"/>
      <c r="CS13" s="125"/>
      <c r="CT13" s="122"/>
      <c r="CU13" s="120"/>
      <c r="CV13" s="125"/>
      <c r="CW13" s="122"/>
      <c r="CX13" s="122"/>
      <c r="CY13" s="125"/>
      <c r="CZ13" s="122"/>
      <c r="DA13" s="122"/>
      <c r="DB13" s="125"/>
    </row>
    <row r="14" spans="1:106" ht="15">
      <c r="A14" s="96" t="s">
        <v>231</v>
      </c>
      <c r="B14" s="96" t="s">
        <v>232</v>
      </c>
      <c r="C14" s="97" t="s">
        <v>137</v>
      </c>
      <c r="D14" s="228">
        <v>50</v>
      </c>
      <c r="E14" s="97" t="s">
        <v>17</v>
      </c>
      <c r="F14" s="97"/>
      <c r="G14" s="182">
        <f>SUM(W14,AC14,AI14,AL14,AX14,CM14)</f>
        <v>1269</v>
      </c>
      <c r="H14" s="97">
        <v>12</v>
      </c>
      <c r="I14" s="128"/>
      <c r="J14" s="129"/>
      <c r="K14" s="130"/>
      <c r="L14" s="131"/>
      <c r="M14" s="129"/>
      <c r="N14" s="132"/>
      <c r="O14" s="138"/>
      <c r="P14" s="138"/>
      <c r="Q14" s="134"/>
      <c r="R14" s="128"/>
      <c r="S14" s="139"/>
      <c r="T14" s="130"/>
      <c r="U14" s="131">
        <v>100</v>
      </c>
      <c r="V14" s="139">
        <v>14.57</v>
      </c>
      <c r="W14" s="177">
        <f>SUM(145+50)</f>
        <v>195</v>
      </c>
      <c r="X14" s="131">
        <v>200</v>
      </c>
      <c r="Y14" s="129">
        <v>30.87</v>
      </c>
      <c r="Z14" s="179">
        <v>108</v>
      </c>
      <c r="AA14" s="131">
        <v>100</v>
      </c>
      <c r="AB14" s="129">
        <v>14.51</v>
      </c>
      <c r="AC14" s="177">
        <f>SUM(152+50)</f>
        <v>202</v>
      </c>
      <c r="AD14" s="131">
        <v>200</v>
      </c>
      <c r="AE14" s="129">
        <v>31.23</v>
      </c>
      <c r="AF14" s="179">
        <v>88</v>
      </c>
      <c r="AG14" s="131">
        <v>200</v>
      </c>
      <c r="AH14" s="129">
        <v>30.24</v>
      </c>
      <c r="AI14" s="177">
        <f>SUM(140+50)</f>
        <v>190</v>
      </c>
      <c r="AJ14" s="131">
        <v>100</v>
      </c>
      <c r="AK14" s="129">
        <v>14.2</v>
      </c>
      <c r="AL14" s="177">
        <f>SUM(161+50)</f>
        <v>211</v>
      </c>
      <c r="AM14" s="131"/>
      <c r="AN14" s="129"/>
      <c r="AO14" s="130"/>
      <c r="AP14" s="131"/>
      <c r="AQ14" s="129"/>
      <c r="AR14" s="130"/>
      <c r="AS14" s="131"/>
      <c r="AT14" s="129"/>
      <c r="AU14" s="130"/>
      <c r="AV14" s="131" t="s">
        <v>296</v>
      </c>
      <c r="AW14" s="129">
        <v>14.11</v>
      </c>
      <c r="AX14" s="177">
        <f>SUM(205+50)</f>
        <v>255</v>
      </c>
      <c r="AY14" s="131"/>
      <c r="AZ14" s="129"/>
      <c r="BA14" s="130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7"/>
      <c r="CA14" s="137"/>
      <c r="CB14" s="137"/>
      <c r="CC14" s="137"/>
      <c r="CD14" s="137"/>
      <c r="CE14" s="135"/>
      <c r="CF14" s="135"/>
      <c r="CG14" s="135"/>
      <c r="CH14" s="118"/>
      <c r="CI14" s="118"/>
      <c r="CJ14" s="124"/>
      <c r="CK14" s="118">
        <v>200</v>
      </c>
      <c r="CL14" s="119">
        <v>29.77</v>
      </c>
      <c r="CM14" s="178">
        <f>SUM(166+50)</f>
        <v>216</v>
      </c>
      <c r="CN14" s="118"/>
      <c r="CO14" s="118"/>
      <c r="CP14" s="124"/>
      <c r="CQ14" s="118"/>
      <c r="CR14" s="119"/>
      <c r="CS14" s="124"/>
      <c r="CT14" s="118"/>
      <c r="CU14" s="119"/>
      <c r="CV14" s="124"/>
      <c r="CW14" s="118"/>
      <c r="CX14" s="118"/>
      <c r="CY14" s="124"/>
      <c r="CZ14" s="118"/>
      <c r="DA14" s="118"/>
      <c r="DB14" s="124"/>
    </row>
    <row r="15" spans="1:106" ht="15">
      <c r="A15" s="231" t="s">
        <v>73</v>
      </c>
      <c r="B15" s="231" t="s">
        <v>74</v>
      </c>
      <c r="C15" s="189" t="s">
        <v>145</v>
      </c>
      <c r="D15" s="190">
        <v>50</v>
      </c>
      <c r="E15" s="189" t="s">
        <v>17</v>
      </c>
      <c r="F15" s="189"/>
      <c r="G15" s="189">
        <f>SUM(K15,T15,W15,Z15,AX15,CM15)</f>
        <v>1036</v>
      </c>
      <c r="H15" s="189">
        <v>13</v>
      </c>
      <c r="I15" s="140">
        <v>200</v>
      </c>
      <c r="J15" s="155">
        <v>40.14</v>
      </c>
      <c r="K15" s="187">
        <f>SUM(64+50)</f>
        <v>114</v>
      </c>
      <c r="L15" s="143"/>
      <c r="M15" s="141"/>
      <c r="N15" s="144"/>
      <c r="O15" s="145">
        <v>300</v>
      </c>
      <c r="P15" s="145" t="s">
        <v>323</v>
      </c>
      <c r="Q15" s="146">
        <v>58</v>
      </c>
      <c r="R15" s="140">
        <v>400</v>
      </c>
      <c r="S15" s="147">
        <v>91.6</v>
      </c>
      <c r="T15" s="187">
        <f>SUM(111+50)</f>
        <v>161</v>
      </c>
      <c r="U15" s="143">
        <v>100</v>
      </c>
      <c r="V15" s="147">
        <v>18</v>
      </c>
      <c r="W15" s="187">
        <f>SUM(158+50)</f>
        <v>208</v>
      </c>
      <c r="X15" s="143">
        <v>200</v>
      </c>
      <c r="Y15" s="147">
        <v>39.66</v>
      </c>
      <c r="Z15" s="187">
        <f>SUM(76+50)</f>
        <v>126</v>
      </c>
      <c r="AA15" s="143"/>
      <c r="AB15" s="141"/>
      <c r="AC15" s="142"/>
      <c r="AD15" s="143"/>
      <c r="AE15" s="141"/>
      <c r="AF15" s="142"/>
      <c r="AG15" s="143">
        <v>400</v>
      </c>
      <c r="AH15" s="141">
        <v>96.74</v>
      </c>
      <c r="AI15" s="142">
        <v>58</v>
      </c>
      <c r="AJ15" s="143"/>
      <c r="AK15" s="141"/>
      <c r="AL15" s="142"/>
      <c r="AM15" s="143"/>
      <c r="AN15" s="141"/>
      <c r="AO15" s="142"/>
      <c r="AP15" s="143"/>
      <c r="AQ15" s="141"/>
      <c r="AR15" s="142"/>
      <c r="AS15" s="143"/>
      <c r="AT15" s="141"/>
      <c r="AU15" s="142"/>
      <c r="AV15" s="143" t="s">
        <v>388</v>
      </c>
      <c r="AW15" s="141">
        <v>37.72</v>
      </c>
      <c r="AX15" s="187">
        <f>SUM(135+50)</f>
        <v>185</v>
      </c>
      <c r="AY15" s="143"/>
      <c r="AZ15" s="141"/>
      <c r="BA15" s="142"/>
      <c r="BK15" s="107">
        <f>COUNTA(BA15,AX15,AU15,AR15,AL15,AI15,AF15,AO15,AC15,Z15,W15,T15,N15,K15)</f>
        <v>6</v>
      </c>
      <c r="BL15" s="148">
        <f>K15</f>
        <v>114</v>
      </c>
      <c r="BM15" s="148">
        <f>N15</f>
        <v>0</v>
      </c>
      <c r="BN15" s="148">
        <f>T15</f>
        <v>161</v>
      </c>
      <c r="BO15" s="148">
        <f>W15</f>
        <v>208</v>
      </c>
      <c r="BP15" s="148">
        <f>Z15</f>
        <v>126</v>
      </c>
      <c r="BQ15" s="148">
        <f>AC15</f>
        <v>0</v>
      </c>
      <c r="BR15" s="148">
        <f>AF15</f>
        <v>0</v>
      </c>
      <c r="BS15" s="148">
        <f>AI15</f>
        <v>58</v>
      </c>
      <c r="BT15" s="148">
        <f>AL15</f>
        <v>0</v>
      </c>
      <c r="BU15" s="148">
        <f>AO15</f>
        <v>0</v>
      </c>
      <c r="BV15" s="148">
        <f>AR15</f>
        <v>0</v>
      </c>
      <c r="BW15" s="148">
        <f>AU15</f>
        <v>0</v>
      </c>
      <c r="BX15" s="148">
        <f>AX15</f>
        <v>185</v>
      </c>
      <c r="BY15" s="148">
        <f>BA15</f>
        <v>0</v>
      </c>
      <c r="BZ15" s="149">
        <f>LARGE(BL15:BY15,1)</f>
        <v>208</v>
      </c>
      <c r="CA15" s="149">
        <f>LARGE(BL15:BY15,2)</f>
        <v>185</v>
      </c>
      <c r="CB15" s="149">
        <f>LARGE(BL15:BY15,3)</f>
        <v>161</v>
      </c>
      <c r="CC15" s="149">
        <f>LARGE(BL15:BY15,4)</f>
        <v>126</v>
      </c>
      <c r="CD15" s="149">
        <f>LARGE(BL15:BY15,5)</f>
        <v>114</v>
      </c>
      <c r="CH15" s="122"/>
      <c r="CI15" s="122"/>
      <c r="CJ15" s="125"/>
      <c r="CK15" s="122">
        <v>100</v>
      </c>
      <c r="CL15" s="120">
        <v>17.59</v>
      </c>
      <c r="CM15" s="173">
        <f>SUM(192+50)</f>
        <v>242</v>
      </c>
      <c r="CN15" s="122"/>
      <c r="CO15" s="122"/>
      <c r="CP15" s="125"/>
      <c r="CQ15" s="122"/>
      <c r="CR15" s="120"/>
      <c r="CS15" s="125"/>
      <c r="CT15" s="122"/>
      <c r="CU15" s="120"/>
      <c r="CV15" s="125"/>
      <c r="CW15" s="122"/>
      <c r="CX15" s="122"/>
      <c r="CY15" s="125"/>
      <c r="CZ15" s="122"/>
      <c r="DA15" s="122"/>
      <c r="DB15" s="125"/>
    </row>
    <row r="16" spans="1:106" ht="15">
      <c r="A16" s="231" t="s">
        <v>50</v>
      </c>
      <c r="B16" s="231" t="s">
        <v>51</v>
      </c>
      <c r="C16" s="189" t="s">
        <v>145</v>
      </c>
      <c r="D16" s="190">
        <v>50</v>
      </c>
      <c r="E16" s="189" t="s">
        <v>69</v>
      </c>
      <c r="F16" s="189"/>
      <c r="G16" s="189">
        <f>SUM(K16,T16,AI16,AL16,AX16,CM16)</f>
        <v>764</v>
      </c>
      <c r="H16" s="189">
        <v>14</v>
      </c>
      <c r="I16" s="140">
        <v>200</v>
      </c>
      <c r="J16" s="141">
        <v>40.24</v>
      </c>
      <c r="K16" s="187">
        <f>SUM(62+50)</f>
        <v>112</v>
      </c>
      <c r="L16" s="143"/>
      <c r="M16" s="122"/>
      <c r="N16" s="151"/>
      <c r="O16" s="152"/>
      <c r="P16" s="152"/>
      <c r="Q16" s="153"/>
      <c r="R16" s="154">
        <v>400</v>
      </c>
      <c r="S16" s="120">
        <v>95.8</v>
      </c>
      <c r="T16" s="188">
        <f>SUM(66+50)</f>
        <v>116</v>
      </c>
      <c r="U16" s="34">
        <v>200</v>
      </c>
      <c r="V16" s="120">
        <v>40.81</v>
      </c>
      <c r="W16" s="150">
        <v>49</v>
      </c>
      <c r="X16" s="34">
        <v>200</v>
      </c>
      <c r="Y16" s="120">
        <v>40.81</v>
      </c>
      <c r="Z16" s="150">
        <v>49</v>
      </c>
      <c r="AA16" s="34">
        <v>200</v>
      </c>
      <c r="AB16" s="122">
        <v>40.92</v>
      </c>
      <c r="AC16" s="150">
        <v>47</v>
      </c>
      <c r="AD16" s="34"/>
      <c r="AE16" s="122"/>
      <c r="AF16" s="150"/>
      <c r="AG16" s="34">
        <v>200</v>
      </c>
      <c r="AH16" s="122">
        <v>39.94</v>
      </c>
      <c r="AI16" s="188">
        <f>SUM(69+50)</f>
        <v>119</v>
      </c>
      <c r="AJ16" s="34">
        <v>400</v>
      </c>
      <c r="AK16" s="122">
        <v>97.84</v>
      </c>
      <c r="AL16" s="188">
        <f>SUM(49+50)</f>
        <v>99</v>
      </c>
      <c r="AM16" s="34"/>
      <c r="AN16" s="122"/>
      <c r="AO16" s="150"/>
      <c r="AP16" s="34"/>
      <c r="AQ16" s="122"/>
      <c r="AR16" s="150"/>
      <c r="AS16" s="34"/>
      <c r="AT16" s="122"/>
      <c r="AU16" s="150"/>
      <c r="AV16" s="34" t="s">
        <v>388</v>
      </c>
      <c r="AW16" s="122">
        <v>38.19</v>
      </c>
      <c r="AX16" s="188">
        <f>SUM(119+50)</f>
        <v>169</v>
      </c>
      <c r="AY16" s="34"/>
      <c r="AZ16" s="122"/>
      <c r="BA16" s="150"/>
      <c r="BK16" s="107">
        <f>COUNTA(BA16,AX16,AU16,AR16,AL16,AI16,AF16,AO16,AC16,Z16,W16,T16,N16,K16)</f>
        <v>8</v>
      </c>
      <c r="BL16" s="148">
        <f>K16</f>
        <v>112</v>
      </c>
      <c r="BM16" s="148">
        <f>N16</f>
        <v>0</v>
      </c>
      <c r="BN16" s="148">
        <f>T16</f>
        <v>116</v>
      </c>
      <c r="BO16" s="148">
        <f>W16</f>
        <v>49</v>
      </c>
      <c r="BP16" s="148">
        <f>Z16</f>
        <v>49</v>
      </c>
      <c r="BQ16" s="148">
        <f>AC16</f>
        <v>47</v>
      </c>
      <c r="BR16" s="148">
        <f>AF16</f>
        <v>0</v>
      </c>
      <c r="BS16" s="148">
        <f>AI16</f>
        <v>119</v>
      </c>
      <c r="BT16" s="148">
        <f>AL16</f>
        <v>99</v>
      </c>
      <c r="BU16" s="148">
        <f>AO16</f>
        <v>0</v>
      </c>
      <c r="BV16" s="148">
        <f>AR16</f>
        <v>0</v>
      </c>
      <c r="BW16" s="148">
        <f>AU16</f>
        <v>0</v>
      </c>
      <c r="BX16" s="148">
        <f>AX16</f>
        <v>169</v>
      </c>
      <c r="BY16" s="148">
        <f>BA16</f>
        <v>0</v>
      </c>
      <c r="BZ16" s="149">
        <f>LARGE(BL16:BY16,1)</f>
        <v>169</v>
      </c>
      <c r="CA16" s="149">
        <f>LARGE(BL16:BY16,2)</f>
        <v>119</v>
      </c>
      <c r="CB16" s="149">
        <f>LARGE(BL16:BY16,3)</f>
        <v>116</v>
      </c>
      <c r="CC16" s="149">
        <f>LARGE(BL16:BY16,4)</f>
        <v>112</v>
      </c>
      <c r="CD16" s="149">
        <f>LARGE(BL16:BY16,5)</f>
        <v>99</v>
      </c>
      <c r="CH16" s="122"/>
      <c r="CI16" s="122"/>
      <c r="CJ16" s="125"/>
      <c r="CK16" s="122">
        <v>400</v>
      </c>
      <c r="CL16" s="120">
        <v>92.75</v>
      </c>
      <c r="CM16" s="173">
        <f>SUM(99+50)</f>
        <v>149</v>
      </c>
      <c r="CN16" s="122"/>
      <c r="CO16" s="122"/>
      <c r="CP16" s="125"/>
      <c r="CQ16" s="122"/>
      <c r="CR16" s="120"/>
      <c r="CS16" s="125"/>
      <c r="CT16" s="122"/>
      <c r="CU16" s="120"/>
      <c r="CV16" s="125"/>
      <c r="CW16" s="122"/>
      <c r="CX16" s="122"/>
      <c r="CY16" s="125"/>
      <c r="CZ16" s="122"/>
      <c r="DA16" s="122"/>
      <c r="DB16" s="125"/>
    </row>
    <row r="17" spans="1:106" ht="15">
      <c r="A17" s="175" t="s">
        <v>229</v>
      </c>
      <c r="B17" s="175" t="s">
        <v>230</v>
      </c>
      <c r="C17" s="176" t="s">
        <v>104</v>
      </c>
      <c r="D17" s="223"/>
      <c r="E17" s="176" t="s">
        <v>11</v>
      </c>
      <c r="F17" s="176"/>
      <c r="G17" s="181"/>
      <c r="H17" s="176"/>
      <c r="I17" s="128"/>
      <c r="J17" s="129"/>
      <c r="K17" s="130"/>
      <c r="L17" s="131"/>
      <c r="M17" s="129"/>
      <c r="N17" s="132"/>
      <c r="O17" s="138"/>
      <c r="P17" s="138"/>
      <c r="Q17" s="134"/>
      <c r="R17" s="128"/>
      <c r="S17" s="139"/>
      <c r="T17" s="130"/>
      <c r="U17" s="131">
        <v>100</v>
      </c>
      <c r="V17" s="139">
        <v>13.13</v>
      </c>
      <c r="W17" s="130">
        <v>368</v>
      </c>
      <c r="X17" s="131"/>
      <c r="Y17" s="129"/>
      <c r="Z17" s="130"/>
      <c r="AA17" s="131"/>
      <c r="AB17" s="129"/>
      <c r="AC17" s="130"/>
      <c r="AD17" s="131"/>
      <c r="AE17" s="129"/>
      <c r="AF17" s="130"/>
      <c r="AG17" s="131" t="s">
        <v>296</v>
      </c>
      <c r="AH17" s="129">
        <v>12.6</v>
      </c>
      <c r="AI17" s="130">
        <v>426</v>
      </c>
      <c r="AJ17" s="131"/>
      <c r="AK17" s="129"/>
      <c r="AL17" s="130"/>
      <c r="AM17" s="131"/>
      <c r="AN17" s="129"/>
      <c r="AO17" s="130"/>
      <c r="AP17" s="131"/>
      <c r="AQ17" s="129"/>
      <c r="AR17" s="130"/>
      <c r="AS17" s="131"/>
      <c r="AT17" s="129"/>
      <c r="AU17" s="130"/>
      <c r="AV17" s="131" t="s">
        <v>296</v>
      </c>
      <c r="AW17" s="129">
        <v>12.61</v>
      </c>
      <c r="AX17" s="130">
        <v>474</v>
      </c>
      <c r="AY17" s="131"/>
      <c r="AZ17" s="129"/>
      <c r="BA17" s="130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7"/>
      <c r="CA17" s="137"/>
      <c r="CB17" s="137"/>
      <c r="CC17" s="137"/>
      <c r="CD17" s="137"/>
      <c r="CE17" s="135"/>
      <c r="CF17" s="135"/>
      <c r="CG17" s="135"/>
      <c r="CH17" s="118"/>
      <c r="CI17" s="118"/>
      <c r="CJ17" s="124"/>
      <c r="CK17" s="118"/>
      <c r="CL17" s="119"/>
      <c r="CM17" s="124"/>
      <c r="CN17" s="118"/>
      <c r="CO17" s="118"/>
      <c r="CP17" s="124"/>
      <c r="CQ17" s="118"/>
      <c r="CR17" s="119"/>
      <c r="CS17" s="124"/>
      <c r="CT17" s="118"/>
      <c r="CU17" s="119"/>
      <c r="CV17" s="124"/>
      <c r="CW17" s="118"/>
      <c r="CX17" s="118"/>
      <c r="CY17" s="124"/>
      <c r="CZ17" s="118"/>
      <c r="DA17" s="118"/>
      <c r="DB17" s="124"/>
    </row>
    <row r="18" spans="1:106" ht="15">
      <c r="A18" s="218" t="s">
        <v>173</v>
      </c>
      <c r="B18" s="218" t="s">
        <v>174</v>
      </c>
      <c r="C18" s="251" t="s">
        <v>47</v>
      </c>
      <c r="D18" s="226"/>
      <c r="E18" s="176" t="s">
        <v>11</v>
      </c>
      <c r="F18" s="176"/>
      <c r="G18" s="181"/>
      <c r="H18" s="176"/>
      <c r="I18" s="128"/>
      <c r="J18" s="129"/>
      <c r="K18" s="130"/>
      <c r="L18" s="131"/>
      <c r="M18" s="129"/>
      <c r="N18" s="132"/>
      <c r="O18" s="138"/>
      <c r="P18" s="138"/>
      <c r="Q18" s="134"/>
      <c r="R18" s="128"/>
      <c r="S18" s="139"/>
      <c r="T18" s="130"/>
      <c r="U18" s="131">
        <v>100</v>
      </c>
      <c r="V18" s="139">
        <v>14.94</v>
      </c>
      <c r="W18" s="130">
        <v>494</v>
      </c>
      <c r="X18" s="131"/>
      <c r="Y18" s="129"/>
      <c r="Z18" s="130"/>
      <c r="AA18" s="131"/>
      <c r="AB18" s="129"/>
      <c r="AC18" s="130"/>
      <c r="AD18" s="131"/>
      <c r="AE18" s="129"/>
      <c r="AF18" s="130"/>
      <c r="AG18" s="131"/>
      <c r="AH18" s="129"/>
      <c r="AI18" s="130"/>
      <c r="AJ18" s="131"/>
      <c r="AK18" s="129"/>
      <c r="AL18" s="130"/>
      <c r="AM18" s="131"/>
      <c r="AN18" s="129"/>
      <c r="AO18" s="130"/>
      <c r="AP18" s="131"/>
      <c r="AQ18" s="129"/>
      <c r="AR18" s="130"/>
      <c r="AS18" s="131"/>
      <c r="AT18" s="129"/>
      <c r="AU18" s="130"/>
      <c r="AV18" s="131"/>
      <c r="AW18" s="129"/>
      <c r="AX18" s="130"/>
      <c r="AY18" s="131"/>
      <c r="AZ18" s="129"/>
      <c r="BA18" s="130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7"/>
      <c r="CA18" s="137"/>
      <c r="CB18" s="137"/>
      <c r="CC18" s="137"/>
      <c r="CD18" s="137"/>
      <c r="CE18" s="135"/>
      <c r="CF18" s="135"/>
      <c r="CG18" s="135"/>
      <c r="CH18" s="118"/>
      <c r="CI18" s="118"/>
      <c r="CJ18" s="124"/>
      <c r="CK18" s="118"/>
      <c r="CL18" s="119"/>
      <c r="CM18" s="124"/>
      <c r="CN18" s="118"/>
      <c r="CO18" s="118"/>
      <c r="CP18" s="124"/>
      <c r="CQ18" s="118"/>
      <c r="CR18" s="119"/>
      <c r="CS18" s="124"/>
      <c r="CT18" s="118"/>
      <c r="CU18" s="119"/>
      <c r="CV18" s="124"/>
      <c r="CW18" s="118"/>
      <c r="CX18" s="118"/>
      <c r="CY18" s="124"/>
      <c r="CZ18" s="118"/>
      <c r="DA18" s="118"/>
      <c r="DB18" s="124"/>
    </row>
    <row r="19" spans="1:106" ht="15">
      <c r="A19" s="238" t="s">
        <v>75</v>
      </c>
      <c r="B19" s="238" t="s">
        <v>76</v>
      </c>
      <c r="C19" s="202"/>
      <c r="D19" s="203"/>
      <c r="E19" s="90" t="s">
        <v>20</v>
      </c>
      <c r="F19" s="90"/>
      <c r="G19" s="90"/>
      <c r="H19" s="90"/>
      <c r="I19" s="140">
        <v>200</v>
      </c>
      <c r="J19" s="141">
        <v>24.84</v>
      </c>
      <c r="K19" s="142">
        <v>577</v>
      </c>
      <c r="L19" s="143"/>
      <c r="M19" s="141"/>
      <c r="N19" s="144"/>
      <c r="O19" s="145"/>
      <c r="P19" s="145"/>
      <c r="Q19" s="146"/>
      <c r="R19" s="140"/>
      <c r="S19" s="147"/>
      <c r="T19" s="142"/>
      <c r="U19" s="143"/>
      <c r="V19" s="147"/>
      <c r="W19" s="142"/>
      <c r="X19" s="143"/>
      <c r="Y19" s="141"/>
      <c r="Z19" s="142"/>
      <c r="AA19" s="143"/>
      <c r="AB19" s="141"/>
      <c r="AC19" s="142"/>
      <c r="AD19" s="143"/>
      <c r="AE19" s="141"/>
      <c r="AF19" s="142"/>
      <c r="AG19" s="143"/>
      <c r="AH19" s="141"/>
      <c r="AI19" s="142"/>
      <c r="AJ19" s="143"/>
      <c r="AK19" s="141"/>
      <c r="AL19" s="142"/>
      <c r="AM19" s="143"/>
      <c r="AN19" s="141"/>
      <c r="AO19" s="142"/>
      <c r="AP19" s="143"/>
      <c r="AQ19" s="141"/>
      <c r="AR19" s="142"/>
      <c r="AS19" s="143"/>
      <c r="AT19" s="141"/>
      <c r="AU19" s="142"/>
      <c r="AV19" s="143"/>
      <c r="AW19" s="141"/>
      <c r="AX19" s="142"/>
      <c r="AY19" s="143"/>
      <c r="AZ19" s="141"/>
      <c r="BA19" s="142"/>
      <c r="BK19" s="107">
        <f>COUNTA(BA19,AX19,AU19,AR19,AL19,AI19,AF19,AO19,AC19,Z19,W19,T19,N19,K19)</f>
        <v>1</v>
      </c>
      <c r="BL19" s="148">
        <f>K19</f>
        <v>577</v>
      </c>
      <c r="BM19" s="148">
        <f>N19</f>
        <v>0</v>
      </c>
      <c r="BN19" s="148">
        <f>T19</f>
        <v>0</v>
      </c>
      <c r="BO19" s="148">
        <f>W19</f>
        <v>0</v>
      </c>
      <c r="BP19" s="148">
        <f>Z19</f>
        <v>0</v>
      </c>
      <c r="BQ19" s="148">
        <f>AC19</f>
        <v>0</v>
      </c>
      <c r="BR19" s="148">
        <f>AF19</f>
        <v>0</v>
      </c>
      <c r="BS19" s="148">
        <f>AI19</f>
        <v>0</v>
      </c>
      <c r="BT19" s="148">
        <f>AL19</f>
        <v>0</v>
      </c>
      <c r="BU19" s="148">
        <f>AO19</f>
        <v>0</v>
      </c>
      <c r="BV19" s="148">
        <f>AR19</f>
        <v>0</v>
      </c>
      <c r="BW19" s="148">
        <f>AU19</f>
        <v>0</v>
      </c>
      <c r="BX19" s="148">
        <f>AX19</f>
        <v>0</v>
      </c>
      <c r="BY19" s="148">
        <f>BA19</f>
        <v>0</v>
      </c>
      <c r="BZ19" s="149">
        <f>LARGE(BL19:BY19,1)</f>
        <v>577</v>
      </c>
      <c r="CA19" s="149">
        <f>LARGE(BL19:BY19,2)</f>
        <v>0</v>
      </c>
      <c r="CB19" s="149">
        <f>LARGE(BL19:BY19,3)</f>
        <v>0</v>
      </c>
      <c r="CC19" s="149">
        <f>LARGE(BL19:BY19,4)</f>
        <v>0</v>
      </c>
      <c r="CD19" s="149">
        <f>LARGE(BL19:BY19,5)</f>
        <v>0</v>
      </c>
      <c r="CH19" s="122"/>
      <c r="CI19" s="122"/>
      <c r="CJ19" s="125"/>
      <c r="CK19" s="122"/>
      <c r="CL19" s="120"/>
      <c r="CM19" s="125"/>
      <c r="CN19" s="122"/>
      <c r="CO19" s="122"/>
      <c r="CP19" s="125"/>
      <c r="CQ19" s="122"/>
      <c r="CR19" s="120"/>
      <c r="CS19" s="125"/>
      <c r="CT19" s="122"/>
      <c r="CU19" s="120"/>
      <c r="CV19" s="125"/>
      <c r="CW19" s="122"/>
      <c r="CX19" s="122"/>
      <c r="CY19" s="125"/>
      <c r="CZ19" s="122"/>
      <c r="DA19" s="122"/>
      <c r="DB19" s="125"/>
    </row>
    <row r="20" spans="1:106" ht="15">
      <c r="A20" s="238" t="s">
        <v>227</v>
      </c>
      <c r="B20" s="238" t="s">
        <v>228</v>
      </c>
      <c r="C20" s="202" t="s">
        <v>42</v>
      </c>
      <c r="D20" s="203"/>
      <c r="E20" s="90" t="s">
        <v>11</v>
      </c>
      <c r="F20" s="90"/>
      <c r="G20" s="90"/>
      <c r="H20" s="90"/>
      <c r="I20" s="140"/>
      <c r="J20" s="141"/>
      <c r="K20" s="142"/>
      <c r="L20" s="143"/>
      <c r="M20" s="141"/>
      <c r="N20" s="144"/>
      <c r="O20" s="145"/>
      <c r="P20" s="145"/>
      <c r="Q20" s="146"/>
      <c r="R20" s="140"/>
      <c r="S20" s="147"/>
      <c r="T20" s="142"/>
      <c r="U20" s="143">
        <v>100</v>
      </c>
      <c r="V20" s="147">
        <v>12.86</v>
      </c>
      <c r="W20" s="142">
        <v>422</v>
      </c>
      <c r="X20" s="143"/>
      <c r="Y20" s="141"/>
      <c r="Z20" s="142"/>
      <c r="AA20" s="143"/>
      <c r="AB20" s="141"/>
      <c r="AC20" s="142"/>
      <c r="AD20" s="143"/>
      <c r="AE20" s="141"/>
      <c r="AF20" s="142"/>
      <c r="AG20" s="143"/>
      <c r="AH20" s="141"/>
      <c r="AI20" s="142"/>
      <c r="AJ20" s="143"/>
      <c r="AK20" s="141"/>
      <c r="AL20" s="142"/>
      <c r="AM20" s="143"/>
      <c r="AN20" s="141"/>
      <c r="AO20" s="142"/>
      <c r="AP20" s="143"/>
      <c r="AQ20" s="141"/>
      <c r="AR20" s="142"/>
      <c r="AS20" s="143"/>
      <c r="AT20" s="141"/>
      <c r="AU20" s="142"/>
      <c r="AV20" s="143"/>
      <c r="AW20" s="141"/>
      <c r="AX20" s="142"/>
      <c r="AY20" s="143"/>
      <c r="AZ20" s="141"/>
      <c r="BA20" s="142"/>
      <c r="CH20" s="122"/>
      <c r="CI20" s="122"/>
      <c r="CJ20" s="125"/>
      <c r="CK20" s="122"/>
      <c r="CL20" s="120"/>
      <c r="CM20" s="125"/>
      <c r="CN20" s="122"/>
      <c r="CO20" s="122"/>
      <c r="CP20" s="125"/>
      <c r="CQ20" s="122"/>
      <c r="CR20" s="120"/>
      <c r="CS20" s="125"/>
      <c r="CT20" s="122"/>
      <c r="CU20" s="120"/>
      <c r="CV20" s="125"/>
      <c r="CW20" s="122"/>
      <c r="CX20" s="122"/>
      <c r="CY20" s="125"/>
      <c r="CZ20" s="122"/>
      <c r="DA20" s="122"/>
      <c r="DB20" s="125"/>
    </row>
    <row r="21" spans="1:106" ht="15">
      <c r="A21" s="239" t="s">
        <v>85</v>
      </c>
      <c r="B21" s="239" t="s">
        <v>86</v>
      </c>
      <c r="C21" s="200" t="s">
        <v>137</v>
      </c>
      <c r="D21" s="201"/>
      <c r="E21" s="92" t="s">
        <v>87</v>
      </c>
      <c r="F21" s="92"/>
      <c r="G21" s="90"/>
      <c r="H21" s="92"/>
      <c r="I21" s="140">
        <v>200</v>
      </c>
      <c r="J21" s="141">
        <v>38.94</v>
      </c>
      <c r="K21" s="142">
        <v>0</v>
      </c>
      <c r="L21" s="143"/>
      <c r="M21" s="141"/>
      <c r="N21" s="144"/>
      <c r="O21" s="145">
        <v>300</v>
      </c>
      <c r="P21" s="145" t="s">
        <v>324</v>
      </c>
      <c r="Q21" s="146">
        <v>0</v>
      </c>
      <c r="R21" s="140">
        <v>200</v>
      </c>
      <c r="S21" s="147">
        <v>37.44</v>
      </c>
      <c r="T21" s="142">
        <v>0</v>
      </c>
      <c r="U21" s="143">
        <v>200</v>
      </c>
      <c r="V21" s="147">
        <v>37.89</v>
      </c>
      <c r="W21" s="142">
        <v>0</v>
      </c>
      <c r="X21" s="143"/>
      <c r="Y21" s="141"/>
      <c r="Z21" s="142"/>
      <c r="AA21" s="143"/>
      <c r="AB21" s="141"/>
      <c r="AC21" s="142"/>
      <c r="AD21" s="143"/>
      <c r="AE21" s="141"/>
      <c r="AF21" s="142"/>
      <c r="AG21" s="143"/>
      <c r="AH21" s="141"/>
      <c r="AI21" s="142"/>
      <c r="AJ21" s="143"/>
      <c r="AK21" s="141"/>
      <c r="AL21" s="142"/>
      <c r="AM21" s="143"/>
      <c r="AN21" s="141"/>
      <c r="AO21" s="142"/>
      <c r="AP21" s="143"/>
      <c r="AQ21" s="141"/>
      <c r="AR21" s="142"/>
      <c r="AS21" s="143"/>
      <c r="AT21" s="141"/>
      <c r="AU21" s="142"/>
      <c r="AV21" s="143"/>
      <c r="AW21" s="141"/>
      <c r="AX21" s="142"/>
      <c r="AY21" s="143"/>
      <c r="AZ21" s="141"/>
      <c r="BA21" s="142"/>
      <c r="BK21" s="107">
        <f>COUNTA(BA21,AX21,AU21,AR21,AL21,AI21,AF21,AO21,AC21,Z21,W21,T21,N21,K21)</f>
        <v>3</v>
      </c>
      <c r="BL21" s="148">
        <f>K21</f>
        <v>0</v>
      </c>
      <c r="BM21" s="148">
        <f>N21</f>
        <v>0</v>
      </c>
      <c r="BN21" s="148">
        <f>T21</f>
        <v>0</v>
      </c>
      <c r="BO21" s="148">
        <f>W21</f>
        <v>0</v>
      </c>
      <c r="BP21" s="148">
        <f>Z21</f>
        <v>0</v>
      </c>
      <c r="BQ21" s="148">
        <f>AC21</f>
        <v>0</v>
      </c>
      <c r="BR21" s="148">
        <f>AF21</f>
        <v>0</v>
      </c>
      <c r="BS21" s="148">
        <f>AI21</f>
        <v>0</v>
      </c>
      <c r="BT21" s="148">
        <f>AL21</f>
        <v>0</v>
      </c>
      <c r="BU21" s="148">
        <f>AO21</f>
        <v>0</v>
      </c>
      <c r="BV21" s="148">
        <f>AR21</f>
        <v>0</v>
      </c>
      <c r="BW21" s="148">
        <f>AU21</f>
        <v>0</v>
      </c>
      <c r="BX21" s="148">
        <f>AX21</f>
        <v>0</v>
      </c>
      <c r="BY21" s="148">
        <f>BA21</f>
        <v>0</v>
      </c>
      <c r="BZ21" s="149">
        <f>LARGE(BL21:BY21,1)</f>
        <v>0</v>
      </c>
      <c r="CA21" s="149">
        <f>LARGE(BL21:BY21,2)</f>
        <v>0</v>
      </c>
      <c r="CB21" s="149">
        <f>LARGE(BL21:BY21,3)</f>
        <v>0</v>
      </c>
      <c r="CC21" s="149">
        <f>LARGE(BL21:BY21,4)</f>
        <v>0</v>
      </c>
      <c r="CD21" s="149">
        <f>LARGE(BL21:BY21,5)</f>
        <v>0</v>
      </c>
      <c r="CH21" s="122"/>
      <c r="CI21" s="122"/>
      <c r="CJ21" s="125"/>
      <c r="CK21" s="122">
        <v>200</v>
      </c>
      <c r="CL21" s="120">
        <v>36.65</v>
      </c>
      <c r="CM21" s="125">
        <v>0</v>
      </c>
      <c r="CN21" s="122"/>
      <c r="CO21" s="122"/>
      <c r="CP21" s="125"/>
      <c r="CQ21" s="122"/>
      <c r="CR21" s="120"/>
      <c r="CS21" s="125"/>
      <c r="CT21" s="122"/>
      <c r="CU21" s="120"/>
      <c r="CV21" s="125"/>
      <c r="CW21" s="122"/>
      <c r="CX21" s="122"/>
      <c r="CY21" s="125"/>
      <c r="CZ21" s="122"/>
      <c r="DA21" s="122"/>
      <c r="DB21" s="125"/>
    </row>
    <row r="22" spans="1:106" ht="15">
      <c r="A22" s="239" t="s">
        <v>112</v>
      </c>
      <c r="B22" s="239" t="s">
        <v>113</v>
      </c>
      <c r="C22" s="200" t="s">
        <v>35</v>
      </c>
      <c r="D22" s="201"/>
      <c r="E22" s="92" t="s">
        <v>69</v>
      </c>
      <c r="F22" s="92"/>
      <c r="G22" s="90"/>
      <c r="H22" s="92"/>
      <c r="I22" s="140"/>
      <c r="J22" s="141"/>
      <c r="K22" s="142"/>
      <c r="L22" s="143">
        <v>100</v>
      </c>
      <c r="M22" s="141">
        <v>13.24</v>
      </c>
      <c r="N22" s="144">
        <v>348</v>
      </c>
      <c r="O22" s="145"/>
      <c r="P22" s="145"/>
      <c r="Q22" s="146"/>
      <c r="R22" s="140"/>
      <c r="S22" s="147"/>
      <c r="T22" s="142"/>
      <c r="U22" s="143"/>
      <c r="V22" s="147"/>
      <c r="W22" s="142"/>
      <c r="X22" s="143"/>
      <c r="Y22" s="141"/>
      <c r="Z22" s="142"/>
      <c r="AA22" s="143"/>
      <c r="AB22" s="141"/>
      <c r="AC22" s="142"/>
      <c r="AD22" s="143"/>
      <c r="AE22" s="141"/>
      <c r="AF22" s="142"/>
      <c r="AG22" s="143"/>
      <c r="AH22" s="141"/>
      <c r="AI22" s="142"/>
      <c r="AJ22" s="143"/>
      <c r="AK22" s="141"/>
      <c r="AL22" s="142"/>
      <c r="AM22" s="143"/>
      <c r="AN22" s="141"/>
      <c r="AO22" s="142"/>
      <c r="AP22" s="143"/>
      <c r="AQ22" s="141"/>
      <c r="AR22" s="142"/>
      <c r="AS22" s="143"/>
      <c r="AT22" s="141"/>
      <c r="AU22" s="142"/>
      <c r="AV22" s="143"/>
      <c r="AW22" s="141"/>
      <c r="AX22" s="142"/>
      <c r="AY22" s="143"/>
      <c r="AZ22" s="141"/>
      <c r="BA22" s="142"/>
      <c r="CH22" s="122"/>
      <c r="CI22" s="122"/>
      <c r="CJ22" s="125"/>
      <c r="CK22" s="122"/>
      <c r="CL22" s="120"/>
      <c r="CM22" s="125"/>
      <c r="CN22" s="122"/>
      <c r="CO22" s="122"/>
      <c r="CP22" s="125"/>
      <c r="CQ22" s="122"/>
      <c r="CR22" s="120"/>
      <c r="CS22" s="125"/>
      <c r="CT22" s="122"/>
      <c r="CU22" s="120"/>
      <c r="CV22" s="125"/>
      <c r="CW22" s="122"/>
      <c r="CX22" s="122"/>
      <c r="CY22" s="125"/>
      <c r="CZ22" s="122"/>
      <c r="DA22" s="122"/>
      <c r="DB22" s="125"/>
    </row>
    <row r="23" spans="1:106" ht="15">
      <c r="A23" s="240" t="s">
        <v>236</v>
      </c>
      <c r="B23" s="240" t="s">
        <v>237</v>
      </c>
      <c r="C23" s="93" t="s">
        <v>137</v>
      </c>
      <c r="D23" s="193"/>
      <c r="E23" s="92" t="s">
        <v>89</v>
      </c>
      <c r="F23" s="92"/>
      <c r="G23" s="90"/>
      <c r="H23" s="92"/>
      <c r="I23" s="140"/>
      <c r="J23" s="141"/>
      <c r="K23" s="142"/>
      <c r="L23" s="143"/>
      <c r="M23" s="141"/>
      <c r="N23" s="144"/>
      <c r="O23" s="145"/>
      <c r="P23" s="145"/>
      <c r="Q23" s="146"/>
      <c r="R23" s="140"/>
      <c r="S23" s="147"/>
      <c r="T23" s="142"/>
      <c r="U23" s="143"/>
      <c r="V23" s="147"/>
      <c r="W23" s="142"/>
      <c r="X23" s="143"/>
      <c r="Y23" s="141"/>
      <c r="Z23" s="142"/>
      <c r="AA23" s="143"/>
      <c r="AB23" s="141"/>
      <c r="AC23" s="142"/>
      <c r="AD23" s="143"/>
      <c r="AE23" s="141"/>
      <c r="AF23" s="142"/>
      <c r="AG23" s="143">
        <v>200</v>
      </c>
      <c r="AH23" s="141">
        <v>34.84</v>
      </c>
      <c r="AI23" s="142">
        <v>0</v>
      </c>
      <c r="AJ23" s="143"/>
      <c r="AK23" s="141"/>
      <c r="AL23" s="142"/>
      <c r="AM23" s="143"/>
      <c r="AN23" s="141"/>
      <c r="AO23" s="142"/>
      <c r="AP23" s="143"/>
      <c r="AQ23" s="141"/>
      <c r="AR23" s="142"/>
      <c r="AS23" s="143"/>
      <c r="AT23" s="141"/>
      <c r="AU23" s="142"/>
      <c r="AV23" s="143"/>
      <c r="AW23" s="141"/>
      <c r="AX23" s="142"/>
      <c r="AY23" s="143"/>
      <c r="AZ23" s="141"/>
      <c r="BA23" s="142"/>
      <c r="CH23" s="122"/>
      <c r="CI23" s="122"/>
      <c r="CJ23" s="125"/>
      <c r="CK23" s="122">
        <v>200</v>
      </c>
      <c r="CL23" s="120">
        <v>32.96</v>
      </c>
      <c r="CM23" s="125">
        <v>32</v>
      </c>
      <c r="CN23" s="122"/>
      <c r="CO23" s="122"/>
      <c r="CP23" s="125"/>
      <c r="CQ23" s="122"/>
      <c r="CR23" s="120"/>
      <c r="CS23" s="125"/>
      <c r="CT23" s="122"/>
      <c r="CU23" s="120"/>
      <c r="CV23" s="125"/>
      <c r="CW23" s="122"/>
      <c r="CX23" s="122"/>
      <c r="CY23" s="125"/>
      <c r="CZ23" s="122"/>
      <c r="DA23" s="122"/>
      <c r="DB23" s="125"/>
    </row>
    <row r="24" spans="1:106" ht="15">
      <c r="A24" s="240" t="s">
        <v>171</v>
      </c>
      <c r="B24" s="240" t="s">
        <v>172</v>
      </c>
      <c r="C24" s="93" t="s">
        <v>47</v>
      </c>
      <c r="D24" s="193"/>
      <c r="E24" s="92" t="s">
        <v>11</v>
      </c>
      <c r="F24" s="92"/>
      <c r="G24" s="90"/>
      <c r="H24" s="92"/>
      <c r="I24" s="140"/>
      <c r="J24" s="141"/>
      <c r="K24" s="142"/>
      <c r="L24" s="143"/>
      <c r="M24" s="141"/>
      <c r="N24" s="144"/>
      <c r="O24" s="145"/>
      <c r="P24" s="145"/>
      <c r="Q24" s="146"/>
      <c r="R24" s="140"/>
      <c r="S24" s="147"/>
      <c r="T24" s="142"/>
      <c r="U24" s="143">
        <v>100</v>
      </c>
      <c r="V24" s="147">
        <v>16.72</v>
      </c>
      <c r="W24" s="142">
        <v>256</v>
      </c>
      <c r="X24" s="143"/>
      <c r="Y24" s="141"/>
      <c r="Z24" s="142"/>
      <c r="AA24" s="143"/>
      <c r="AB24" s="141"/>
      <c r="AC24" s="142"/>
      <c r="AD24" s="143"/>
      <c r="AE24" s="141"/>
      <c r="AF24" s="142"/>
      <c r="AG24" s="143">
        <v>100</v>
      </c>
      <c r="AH24" s="141">
        <v>15.94</v>
      </c>
      <c r="AI24" s="142">
        <v>364</v>
      </c>
      <c r="AJ24" s="143">
        <v>400</v>
      </c>
      <c r="AK24" s="141">
        <v>80.04</v>
      </c>
      <c r="AL24" s="142">
        <v>300</v>
      </c>
      <c r="AM24" s="143"/>
      <c r="AN24" s="141"/>
      <c r="AO24" s="142"/>
      <c r="AP24" s="143"/>
      <c r="AQ24" s="141"/>
      <c r="AR24" s="142"/>
      <c r="AS24" s="143"/>
      <c r="AT24" s="141"/>
      <c r="AU24" s="142"/>
      <c r="AV24" s="143"/>
      <c r="AW24" s="141"/>
      <c r="AX24" s="142"/>
      <c r="AY24" s="143"/>
      <c r="AZ24" s="141"/>
      <c r="BA24" s="142"/>
      <c r="CH24" s="122"/>
      <c r="CI24" s="122"/>
      <c r="CJ24" s="125"/>
      <c r="CK24" s="122"/>
      <c r="CL24" s="120"/>
      <c r="CM24" s="125"/>
      <c r="CN24" s="122"/>
      <c r="CO24" s="122"/>
      <c r="CP24" s="125"/>
      <c r="CQ24" s="122"/>
      <c r="CR24" s="120"/>
      <c r="CS24" s="125"/>
      <c r="CT24" s="122"/>
      <c r="CU24" s="120"/>
      <c r="CV24" s="125"/>
      <c r="CW24" s="122"/>
      <c r="CX24" s="122"/>
      <c r="CY24" s="125"/>
      <c r="CZ24" s="122"/>
      <c r="DA24" s="122"/>
      <c r="DB24" s="125"/>
    </row>
    <row r="25" spans="1:106" ht="15">
      <c r="A25" s="240" t="s">
        <v>220</v>
      </c>
      <c r="B25" s="240" t="s">
        <v>221</v>
      </c>
      <c r="C25" s="93" t="s">
        <v>47</v>
      </c>
      <c r="D25" s="193"/>
      <c r="E25" s="92" t="s">
        <v>69</v>
      </c>
      <c r="F25" s="92"/>
      <c r="G25" s="90"/>
      <c r="H25" s="92"/>
      <c r="I25" s="140"/>
      <c r="J25" s="141"/>
      <c r="K25" s="142"/>
      <c r="L25" s="143"/>
      <c r="M25" s="141"/>
      <c r="N25" s="144"/>
      <c r="O25" s="145"/>
      <c r="P25" s="145"/>
      <c r="Q25" s="146"/>
      <c r="R25" s="140"/>
      <c r="S25" s="147"/>
      <c r="T25" s="142"/>
      <c r="U25" s="143">
        <v>100</v>
      </c>
      <c r="V25" s="147">
        <v>15.14</v>
      </c>
      <c r="W25" s="142">
        <v>466</v>
      </c>
      <c r="X25" s="143"/>
      <c r="Y25" s="141"/>
      <c r="Z25" s="142"/>
      <c r="AA25" s="143">
        <v>100</v>
      </c>
      <c r="AB25" s="141">
        <v>14.63</v>
      </c>
      <c r="AC25" s="142">
        <v>424</v>
      </c>
      <c r="AD25" s="143">
        <v>200</v>
      </c>
      <c r="AE25" s="141">
        <v>31.74</v>
      </c>
      <c r="AF25" s="142">
        <v>424</v>
      </c>
      <c r="AG25" s="143"/>
      <c r="AH25" s="141"/>
      <c r="AI25" s="142"/>
      <c r="AJ25" s="143"/>
      <c r="AK25" s="141"/>
      <c r="AL25" s="142"/>
      <c r="AM25" s="143"/>
      <c r="AN25" s="141"/>
      <c r="AO25" s="142"/>
      <c r="AP25" s="143"/>
      <c r="AQ25" s="141"/>
      <c r="AR25" s="142"/>
      <c r="AS25" s="143"/>
      <c r="AT25" s="141"/>
      <c r="AU25" s="142"/>
      <c r="AV25" s="143"/>
      <c r="AW25" s="141"/>
      <c r="AX25" s="142"/>
      <c r="AY25" s="143"/>
      <c r="AZ25" s="141"/>
      <c r="BA25" s="142"/>
      <c r="CH25" s="122"/>
      <c r="CI25" s="122"/>
      <c r="CJ25" s="125"/>
      <c r="CK25" s="122"/>
      <c r="CL25" s="120"/>
      <c r="CM25" s="125"/>
      <c r="CN25" s="122"/>
      <c r="CO25" s="122"/>
      <c r="CP25" s="125"/>
      <c r="CQ25" s="122"/>
      <c r="CR25" s="120"/>
      <c r="CS25" s="125"/>
      <c r="CT25" s="122"/>
      <c r="CU25" s="120"/>
      <c r="CV25" s="125"/>
      <c r="CW25" s="122"/>
      <c r="CX25" s="122"/>
      <c r="CY25" s="125"/>
      <c r="CZ25" s="122"/>
      <c r="DA25" s="122"/>
      <c r="DB25" s="125"/>
    </row>
    <row r="26" spans="1:106" ht="15">
      <c r="A26" s="240" t="s">
        <v>224</v>
      </c>
      <c r="B26" s="240" t="s">
        <v>214</v>
      </c>
      <c r="C26" s="93" t="s">
        <v>42</v>
      </c>
      <c r="D26" s="193"/>
      <c r="E26" s="92" t="s">
        <v>11</v>
      </c>
      <c r="F26" s="92"/>
      <c r="G26" s="90"/>
      <c r="H26" s="92"/>
      <c r="I26" s="140"/>
      <c r="J26" s="155"/>
      <c r="K26" s="142"/>
      <c r="L26" s="143"/>
      <c r="M26" s="122"/>
      <c r="N26" s="151"/>
      <c r="O26" s="152"/>
      <c r="P26" s="152"/>
      <c r="Q26" s="153"/>
      <c r="R26" s="154"/>
      <c r="S26" s="120"/>
      <c r="T26" s="150"/>
      <c r="U26" s="34">
        <v>100</v>
      </c>
      <c r="V26" s="120">
        <v>11.79</v>
      </c>
      <c r="W26" s="150">
        <v>668</v>
      </c>
      <c r="X26" s="34"/>
      <c r="Y26" s="122"/>
      <c r="Z26" s="150"/>
      <c r="AA26" s="34">
        <v>200</v>
      </c>
      <c r="AB26" s="122">
        <v>23.78</v>
      </c>
      <c r="AC26" s="150">
        <v>697</v>
      </c>
      <c r="AD26" s="34"/>
      <c r="AE26" s="122"/>
      <c r="AF26" s="150"/>
      <c r="AG26" s="34" t="s">
        <v>296</v>
      </c>
      <c r="AH26" s="122">
        <v>11.5</v>
      </c>
      <c r="AI26" s="150">
        <v>681</v>
      </c>
      <c r="AJ26" s="34"/>
      <c r="AK26" s="122"/>
      <c r="AL26" s="150"/>
      <c r="AM26" s="34"/>
      <c r="AN26" s="122"/>
      <c r="AO26" s="150"/>
      <c r="AP26" s="34"/>
      <c r="AQ26" s="122"/>
      <c r="AR26" s="150"/>
      <c r="AS26" s="34"/>
      <c r="AT26" s="122"/>
      <c r="AU26" s="150"/>
      <c r="AV26" s="34" t="s">
        <v>296</v>
      </c>
      <c r="AW26" s="122">
        <v>11.51</v>
      </c>
      <c r="AX26" s="150">
        <v>742</v>
      </c>
      <c r="AY26" s="34"/>
      <c r="AZ26" s="122"/>
      <c r="BA26" s="150"/>
      <c r="CH26" s="122"/>
      <c r="CI26" s="122"/>
      <c r="CJ26" s="125"/>
      <c r="CK26" s="122">
        <v>200</v>
      </c>
      <c r="CL26" s="120">
        <v>23.86</v>
      </c>
      <c r="CM26" s="125">
        <v>688</v>
      </c>
      <c r="CN26" s="122"/>
      <c r="CO26" s="122"/>
      <c r="CP26" s="125"/>
      <c r="CQ26" s="122"/>
      <c r="CR26" s="120"/>
      <c r="CS26" s="125"/>
      <c r="CT26" s="122"/>
      <c r="CU26" s="120"/>
      <c r="CV26" s="125"/>
      <c r="CW26" s="122"/>
      <c r="CX26" s="122"/>
      <c r="CY26" s="125"/>
      <c r="CZ26" s="122"/>
      <c r="DA26" s="122"/>
      <c r="DB26" s="125"/>
    </row>
    <row r="27" spans="1:106" ht="15">
      <c r="A27" s="241" t="s">
        <v>186</v>
      </c>
      <c r="B27" s="241" t="s">
        <v>187</v>
      </c>
      <c r="C27" s="90" t="s">
        <v>38</v>
      </c>
      <c r="D27" s="207"/>
      <c r="E27" s="90" t="s">
        <v>69</v>
      </c>
      <c r="F27" s="90"/>
      <c r="G27" s="90"/>
      <c r="H27" s="90"/>
      <c r="I27" s="140"/>
      <c r="J27" s="141"/>
      <c r="K27" s="142"/>
      <c r="L27" s="143"/>
      <c r="M27" s="141"/>
      <c r="N27" s="144"/>
      <c r="O27" s="145"/>
      <c r="P27" s="145"/>
      <c r="Q27" s="146"/>
      <c r="R27" s="140"/>
      <c r="S27" s="147"/>
      <c r="T27" s="142"/>
      <c r="U27" s="34">
        <v>100</v>
      </c>
      <c r="V27" s="147">
        <v>14.64</v>
      </c>
      <c r="W27" s="150">
        <v>537</v>
      </c>
      <c r="X27" s="34"/>
      <c r="Y27" s="122"/>
      <c r="Z27" s="150"/>
      <c r="AA27" s="34"/>
      <c r="AB27" s="122"/>
      <c r="AC27" s="150"/>
      <c r="AD27" s="34"/>
      <c r="AE27" s="122"/>
      <c r="AF27" s="150"/>
      <c r="AG27" s="34"/>
      <c r="AH27" s="122"/>
      <c r="AI27" s="150"/>
      <c r="AJ27" s="34"/>
      <c r="AK27" s="122"/>
      <c r="AL27" s="150"/>
      <c r="AM27" s="34"/>
      <c r="AN27" s="122"/>
      <c r="AO27" s="150"/>
      <c r="AP27" s="34"/>
      <c r="AQ27" s="122"/>
      <c r="AR27" s="150"/>
      <c r="AS27" s="34"/>
      <c r="AT27" s="122"/>
      <c r="AU27" s="150"/>
      <c r="AV27" s="34"/>
      <c r="AW27" s="122"/>
      <c r="AX27" s="150"/>
      <c r="AY27" s="34"/>
      <c r="AZ27" s="122"/>
      <c r="BA27" s="150"/>
      <c r="CH27" s="122"/>
      <c r="CI27" s="122"/>
      <c r="CJ27" s="125"/>
      <c r="CK27" s="122"/>
      <c r="CL27" s="120"/>
      <c r="CM27" s="125"/>
      <c r="CN27" s="122"/>
      <c r="CO27" s="122"/>
      <c r="CP27" s="125"/>
      <c r="CQ27" s="122"/>
      <c r="CR27" s="120"/>
      <c r="CS27" s="125"/>
      <c r="CT27" s="122"/>
      <c r="CU27" s="120"/>
      <c r="CV27" s="125"/>
      <c r="CW27" s="122"/>
      <c r="CX27" s="122"/>
      <c r="CY27" s="125"/>
      <c r="CZ27" s="122"/>
      <c r="DA27" s="122"/>
      <c r="DB27" s="125"/>
    </row>
    <row r="28" spans="1:106" ht="15">
      <c r="A28" s="241" t="s">
        <v>72</v>
      </c>
      <c r="B28" s="241" t="s">
        <v>109</v>
      </c>
      <c r="C28" s="90" t="s">
        <v>47</v>
      </c>
      <c r="D28" s="207"/>
      <c r="E28" s="90" t="s">
        <v>17</v>
      </c>
      <c r="F28" s="90"/>
      <c r="G28" s="90"/>
      <c r="H28" s="90"/>
      <c r="I28" s="140">
        <v>200</v>
      </c>
      <c r="J28" s="141">
        <v>37.14</v>
      </c>
      <c r="K28" s="142">
        <v>156</v>
      </c>
      <c r="L28" s="143">
        <v>100</v>
      </c>
      <c r="M28" s="141">
        <v>17.24</v>
      </c>
      <c r="N28" s="144">
        <v>224</v>
      </c>
      <c r="O28" s="145"/>
      <c r="P28" s="145"/>
      <c r="Q28" s="146"/>
      <c r="R28" s="140"/>
      <c r="S28" s="147"/>
      <c r="T28" s="142"/>
      <c r="U28" s="34"/>
      <c r="V28" s="147"/>
      <c r="W28" s="150"/>
      <c r="X28" s="34"/>
      <c r="Y28" s="122"/>
      <c r="Z28" s="150"/>
      <c r="AA28" s="34"/>
      <c r="AB28" s="122"/>
      <c r="AC28" s="150"/>
      <c r="AD28" s="34"/>
      <c r="AE28" s="122"/>
      <c r="AF28" s="150"/>
      <c r="AG28" s="34"/>
      <c r="AH28" s="122"/>
      <c r="AI28" s="150"/>
      <c r="AJ28" s="34"/>
      <c r="AK28" s="122"/>
      <c r="AL28" s="150"/>
      <c r="AM28" s="34"/>
      <c r="AN28" s="122"/>
      <c r="AO28" s="150"/>
      <c r="AP28" s="34"/>
      <c r="AQ28" s="122"/>
      <c r="AR28" s="150"/>
      <c r="AS28" s="34"/>
      <c r="AT28" s="122"/>
      <c r="AU28" s="150"/>
      <c r="AV28" s="34"/>
      <c r="AW28" s="122"/>
      <c r="AX28" s="150"/>
      <c r="AY28" s="34"/>
      <c r="AZ28" s="122"/>
      <c r="BA28" s="150"/>
      <c r="BK28" s="107">
        <f>COUNTA(BA28,AX28,AU28,AR28,AL28,AI28,AF28,AO28,AC28,Z28,W28,T28,N28,K28)</f>
        <v>2</v>
      </c>
      <c r="BL28" s="148">
        <f>K28</f>
        <v>156</v>
      </c>
      <c r="BM28" s="148">
        <f>N28</f>
        <v>224</v>
      </c>
      <c r="BN28" s="148">
        <f>T28</f>
        <v>0</v>
      </c>
      <c r="BO28" s="148">
        <f>W28</f>
        <v>0</v>
      </c>
      <c r="BP28" s="148">
        <f>Z28</f>
        <v>0</v>
      </c>
      <c r="BQ28" s="148">
        <f>AC28</f>
        <v>0</v>
      </c>
      <c r="BR28" s="148">
        <f>AF28</f>
        <v>0</v>
      </c>
      <c r="BS28" s="148">
        <f>AI28</f>
        <v>0</v>
      </c>
      <c r="BT28" s="148">
        <f>AL28</f>
        <v>0</v>
      </c>
      <c r="BU28" s="148">
        <f>AO28</f>
        <v>0</v>
      </c>
      <c r="BV28" s="148">
        <f>AR28</f>
        <v>0</v>
      </c>
      <c r="BW28" s="148">
        <f>AU28</f>
        <v>0</v>
      </c>
      <c r="BX28" s="148">
        <f>AX28</f>
        <v>0</v>
      </c>
      <c r="BY28" s="148">
        <f>BA28</f>
        <v>0</v>
      </c>
      <c r="BZ28" s="149">
        <f>LARGE(BL28:BY28,1)</f>
        <v>224</v>
      </c>
      <c r="CA28" s="149">
        <f>LARGE(BL28:BY28,2)</f>
        <v>156</v>
      </c>
      <c r="CB28" s="149">
        <f>LARGE(BL28:BY28,3)</f>
        <v>0</v>
      </c>
      <c r="CC28" s="149">
        <f>LARGE(BL28:BY28,4)</f>
        <v>0</v>
      </c>
      <c r="CD28" s="149">
        <f>LARGE(BL28:BY28,5)</f>
        <v>0</v>
      </c>
      <c r="CH28" s="122"/>
      <c r="CI28" s="122"/>
      <c r="CJ28" s="125"/>
      <c r="CK28" s="122"/>
      <c r="CL28" s="120"/>
      <c r="CM28" s="125"/>
      <c r="CN28" s="122"/>
      <c r="CO28" s="122"/>
      <c r="CP28" s="125"/>
      <c r="CQ28" s="122"/>
      <c r="CR28" s="120"/>
      <c r="CS28" s="125"/>
      <c r="CT28" s="122"/>
      <c r="CU28" s="120"/>
      <c r="CV28" s="125"/>
      <c r="CW28" s="122"/>
      <c r="CX28" s="122"/>
      <c r="CY28" s="125"/>
      <c r="CZ28" s="122"/>
      <c r="DA28" s="122"/>
      <c r="DB28" s="125"/>
    </row>
    <row r="29" spans="1:106" ht="15">
      <c r="A29" s="241" t="s">
        <v>175</v>
      </c>
      <c r="B29" s="241" t="s">
        <v>176</v>
      </c>
      <c r="C29" s="90" t="s">
        <v>47</v>
      </c>
      <c r="D29" s="90"/>
      <c r="E29" s="90" t="s">
        <v>11</v>
      </c>
      <c r="F29" s="90"/>
      <c r="G29" s="90"/>
      <c r="H29" s="90"/>
      <c r="I29" s="140"/>
      <c r="J29" s="141"/>
      <c r="K29" s="142"/>
      <c r="L29" s="143"/>
      <c r="M29" s="122"/>
      <c r="N29" s="151"/>
      <c r="O29" s="152"/>
      <c r="P29" s="152"/>
      <c r="Q29" s="153"/>
      <c r="R29" s="154"/>
      <c r="S29" s="120"/>
      <c r="T29" s="150"/>
      <c r="U29" s="34">
        <v>100</v>
      </c>
      <c r="V29" s="120">
        <v>14.23</v>
      </c>
      <c r="W29" s="150">
        <v>598</v>
      </c>
      <c r="X29" s="34"/>
      <c r="Y29" s="122"/>
      <c r="Z29" s="150"/>
      <c r="AA29" s="34"/>
      <c r="AB29" s="122"/>
      <c r="AC29" s="150"/>
      <c r="AD29" s="34"/>
      <c r="AE29" s="122"/>
      <c r="AF29" s="150"/>
      <c r="AG29" s="34"/>
      <c r="AH29" s="122"/>
      <c r="AI29" s="150"/>
      <c r="AJ29" s="34"/>
      <c r="AK29" s="122"/>
      <c r="AL29" s="150"/>
      <c r="AM29" s="34"/>
      <c r="AN29" s="122"/>
      <c r="AO29" s="150"/>
      <c r="AP29" s="34"/>
      <c r="AQ29" s="122"/>
      <c r="AR29" s="150"/>
      <c r="AS29" s="34"/>
      <c r="AT29" s="122"/>
      <c r="AU29" s="150"/>
      <c r="AV29" s="34"/>
      <c r="AW29" s="122"/>
      <c r="AX29" s="150"/>
      <c r="AY29" s="34"/>
      <c r="AZ29" s="122"/>
      <c r="BA29" s="150"/>
      <c r="CH29" s="122"/>
      <c r="CI29" s="122"/>
      <c r="CJ29" s="125"/>
      <c r="CK29" s="122"/>
      <c r="CL29" s="120"/>
      <c r="CM29" s="125"/>
      <c r="CN29" s="122"/>
      <c r="CO29" s="122"/>
      <c r="CP29" s="125"/>
      <c r="CQ29" s="122"/>
      <c r="CR29" s="120"/>
      <c r="CS29" s="125"/>
      <c r="CT29" s="122"/>
      <c r="CU29" s="120"/>
      <c r="CV29" s="125"/>
      <c r="CW29" s="122"/>
      <c r="CX29" s="122"/>
      <c r="CY29" s="125"/>
      <c r="CZ29" s="122"/>
      <c r="DA29" s="122"/>
      <c r="DB29" s="125"/>
    </row>
    <row r="30" spans="1:106" ht="15">
      <c r="A30" s="242" t="s">
        <v>218</v>
      </c>
      <c r="B30" s="242" t="s">
        <v>219</v>
      </c>
      <c r="C30" s="183" t="s">
        <v>42</v>
      </c>
      <c r="D30" s="184"/>
      <c r="E30" s="90" t="s">
        <v>61</v>
      </c>
      <c r="F30" s="90"/>
      <c r="G30" s="90"/>
      <c r="H30" s="90"/>
      <c r="I30" s="140"/>
      <c r="J30" s="141"/>
      <c r="K30" s="142"/>
      <c r="L30" s="143"/>
      <c r="M30" s="122"/>
      <c r="N30" s="151"/>
      <c r="O30" s="152"/>
      <c r="P30" s="152"/>
      <c r="Q30" s="153"/>
      <c r="R30" s="154"/>
      <c r="S30" s="120"/>
      <c r="T30" s="150"/>
      <c r="U30" s="34"/>
      <c r="V30" s="120"/>
      <c r="W30" s="150"/>
      <c r="X30" s="34"/>
      <c r="Y30" s="122"/>
      <c r="Z30" s="150"/>
      <c r="AA30" s="34">
        <v>100</v>
      </c>
      <c r="AB30" s="122">
        <v>12.84</v>
      </c>
      <c r="AC30" s="150">
        <v>426</v>
      </c>
      <c r="AD30" s="34">
        <v>200</v>
      </c>
      <c r="AE30" s="122">
        <v>26.46</v>
      </c>
      <c r="AF30" s="150">
        <v>415</v>
      </c>
      <c r="AG30" s="34"/>
      <c r="AH30" s="122"/>
      <c r="AI30" s="150"/>
      <c r="AJ30" s="34"/>
      <c r="AK30" s="122"/>
      <c r="AL30" s="150"/>
      <c r="AM30" s="34"/>
      <c r="AN30" s="122"/>
      <c r="AO30" s="150"/>
      <c r="AP30" s="34"/>
      <c r="AQ30" s="122"/>
      <c r="AR30" s="150"/>
      <c r="AS30" s="34"/>
      <c r="AT30" s="122"/>
      <c r="AU30" s="150"/>
      <c r="AV30" s="34"/>
      <c r="AW30" s="122"/>
      <c r="AX30" s="150"/>
      <c r="AY30" s="34"/>
      <c r="AZ30" s="122"/>
      <c r="BA30" s="150"/>
      <c r="CH30" s="122"/>
      <c r="CI30" s="122"/>
      <c r="CJ30" s="125"/>
      <c r="CK30" s="122"/>
      <c r="CL30" s="120"/>
      <c r="CM30" s="125"/>
      <c r="CN30" s="122"/>
      <c r="CO30" s="122"/>
      <c r="CP30" s="125"/>
      <c r="CQ30" s="122"/>
      <c r="CR30" s="120"/>
      <c r="CS30" s="125"/>
      <c r="CT30" s="122"/>
      <c r="CU30" s="120"/>
      <c r="CV30" s="125"/>
      <c r="CW30" s="122"/>
      <c r="CX30" s="122"/>
      <c r="CY30" s="125"/>
      <c r="CZ30" s="122"/>
      <c r="DA30" s="122"/>
      <c r="DB30" s="125"/>
    </row>
    <row r="31" spans="1:106" ht="15">
      <c r="A31" s="238" t="s">
        <v>226</v>
      </c>
      <c r="B31" s="238" t="s">
        <v>183</v>
      </c>
      <c r="C31" s="202" t="s">
        <v>59</v>
      </c>
      <c r="D31" s="203"/>
      <c r="E31" s="90" t="s">
        <v>17</v>
      </c>
      <c r="F31" s="90"/>
      <c r="G31" s="90"/>
      <c r="H31" s="90"/>
      <c r="I31" s="140"/>
      <c r="J31" s="141"/>
      <c r="K31" s="142"/>
      <c r="L31" s="143"/>
      <c r="M31" s="122"/>
      <c r="N31" s="151"/>
      <c r="O31" s="152"/>
      <c r="P31" s="152"/>
      <c r="Q31" s="153"/>
      <c r="R31" s="154"/>
      <c r="S31" s="120"/>
      <c r="T31" s="150"/>
      <c r="U31" s="34">
        <v>100</v>
      </c>
      <c r="V31" s="120">
        <v>12.58</v>
      </c>
      <c r="W31" s="150">
        <v>428</v>
      </c>
      <c r="X31" s="34"/>
      <c r="Y31" s="122"/>
      <c r="Z31" s="150"/>
      <c r="AA31" s="34"/>
      <c r="AB31" s="122"/>
      <c r="AC31" s="150"/>
      <c r="AD31" s="34"/>
      <c r="AE31" s="122"/>
      <c r="AF31" s="150"/>
      <c r="AG31" s="34"/>
      <c r="AH31" s="122"/>
      <c r="AI31" s="150"/>
      <c r="AJ31" s="34"/>
      <c r="AK31" s="122"/>
      <c r="AL31" s="150"/>
      <c r="AM31" s="34"/>
      <c r="AN31" s="122"/>
      <c r="AO31" s="150"/>
      <c r="AP31" s="34"/>
      <c r="AQ31" s="122"/>
      <c r="AR31" s="150"/>
      <c r="AS31" s="34"/>
      <c r="AT31" s="122"/>
      <c r="AU31" s="150"/>
      <c r="AV31" s="34"/>
      <c r="AW31" s="122"/>
      <c r="AX31" s="150"/>
      <c r="AY31" s="34"/>
      <c r="AZ31" s="122"/>
      <c r="BA31" s="150"/>
      <c r="CH31" s="122"/>
      <c r="CI31" s="122"/>
      <c r="CJ31" s="125"/>
      <c r="CK31" s="122">
        <v>200</v>
      </c>
      <c r="CL31" s="120">
        <v>26.44</v>
      </c>
      <c r="CM31" s="125">
        <v>406</v>
      </c>
      <c r="CN31" s="122"/>
      <c r="CO31" s="122"/>
      <c r="CP31" s="125"/>
      <c r="CQ31" s="122"/>
      <c r="CR31" s="120"/>
      <c r="CS31" s="125"/>
      <c r="CT31" s="122"/>
      <c r="CU31" s="120"/>
      <c r="CV31" s="125"/>
      <c r="CW31" s="122"/>
      <c r="CX31" s="122"/>
      <c r="CY31" s="125"/>
      <c r="CZ31" s="122"/>
      <c r="DA31" s="122"/>
      <c r="DB31" s="125"/>
    </row>
    <row r="32" spans="1:106" ht="15">
      <c r="A32" s="243" t="s">
        <v>105</v>
      </c>
      <c r="B32" s="243" t="s">
        <v>106</v>
      </c>
      <c r="C32" s="211" t="s">
        <v>47</v>
      </c>
      <c r="D32" s="227"/>
      <c r="E32" s="92" t="s">
        <v>69</v>
      </c>
      <c r="F32" s="92"/>
      <c r="G32" s="90"/>
      <c r="H32" s="92"/>
      <c r="I32" s="140"/>
      <c r="J32" s="141"/>
      <c r="K32" s="142"/>
      <c r="L32" s="143"/>
      <c r="M32" s="122"/>
      <c r="N32" s="151"/>
      <c r="O32" s="152"/>
      <c r="P32" s="152"/>
      <c r="Q32" s="153"/>
      <c r="R32" s="154">
        <v>400</v>
      </c>
      <c r="S32" s="120">
        <v>66.74</v>
      </c>
      <c r="T32" s="142">
        <v>626</v>
      </c>
      <c r="U32" s="143"/>
      <c r="V32" s="147"/>
      <c r="W32" s="150"/>
      <c r="X32" s="34"/>
      <c r="Y32" s="122"/>
      <c r="Z32" s="150"/>
      <c r="AA32" s="34"/>
      <c r="AB32" s="122"/>
      <c r="AC32" s="150"/>
      <c r="AD32" s="34"/>
      <c r="AE32" s="122"/>
      <c r="AF32" s="150"/>
      <c r="AG32" s="34">
        <v>400</v>
      </c>
      <c r="AH32" s="122">
        <v>66.94</v>
      </c>
      <c r="AI32" s="150">
        <v>621</v>
      </c>
      <c r="AJ32" s="34"/>
      <c r="AK32" s="122"/>
      <c r="AL32" s="150"/>
      <c r="AM32" s="34"/>
      <c r="AN32" s="122"/>
      <c r="AO32" s="150"/>
      <c r="AP32" s="34"/>
      <c r="AQ32" s="122"/>
      <c r="AR32" s="150"/>
      <c r="AS32" s="34"/>
      <c r="AT32" s="122"/>
      <c r="AU32" s="150"/>
      <c r="AV32" s="34"/>
      <c r="AW32" s="122"/>
      <c r="AX32" s="150"/>
      <c r="AY32" s="34"/>
      <c r="AZ32" s="122"/>
      <c r="BA32" s="150"/>
      <c r="CH32" s="122"/>
      <c r="CI32" s="122"/>
      <c r="CJ32" s="125"/>
      <c r="CK32" s="122"/>
      <c r="CL32" s="120"/>
      <c r="CM32" s="125"/>
      <c r="CN32" s="122"/>
      <c r="CO32" s="122"/>
      <c r="CP32" s="125"/>
      <c r="CQ32" s="122"/>
      <c r="CR32" s="120"/>
      <c r="CS32" s="125"/>
      <c r="CT32" s="122"/>
      <c r="CU32" s="120"/>
      <c r="CV32" s="125"/>
      <c r="CW32" s="122"/>
      <c r="CX32" s="122"/>
      <c r="CY32" s="125"/>
      <c r="CZ32" s="122"/>
      <c r="DA32" s="122"/>
      <c r="DB32" s="125"/>
    </row>
    <row r="33" spans="1:106" ht="15">
      <c r="A33" s="239" t="s">
        <v>21</v>
      </c>
      <c r="B33" s="239" t="s">
        <v>88</v>
      </c>
      <c r="C33" s="200" t="s">
        <v>137</v>
      </c>
      <c r="D33" s="201"/>
      <c r="E33" s="92" t="s">
        <v>89</v>
      </c>
      <c r="F33" s="92"/>
      <c r="G33" s="90"/>
      <c r="H33" s="92"/>
      <c r="I33" s="140">
        <v>200</v>
      </c>
      <c r="J33" s="141">
        <v>39.24</v>
      </c>
      <c r="K33" s="142">
        <v>0</v>
      </c>
      <c r="L33" s="143">
        <v>100</v>
      </c>
      <c r="M33" s="122">
        <v>18.94</v>
      </c>
      <c r="N33" s="151">
        <v>0</v>
      </c>
      <c r="O33" s="152"/>
      <c r="P33" s="152"/>
      <c r="Q33" s="153"/>
      <c r="R33" s="154">
        <v>200</v>
      </c>
      <c r="S33" s="120">
        <v>38.34</v>
      </c>
      <c r="T33" s="150">
        <v>0</v>
      </c>
      <c r="U33" s="34"/>
      <c r="V33" s="120"/>
      <c r="W33" s="150"/>
      <c r="X33" s="34"/>
      <c r="Y33" s="122"/>
      <c r="Z33" s="150"/>
      <c r="AA33" s="34">
        <v>100</v>
      </c>
      <c r="AB33" s="122">
        <v>18.92</v>
      </c>
      <c r="AC33" s="150">
        <v>0</v>
      </c>
      <c r="AD33" s="34">
        <v>200</v>
      </c>
      <c r="AE33" s="122">
        <v>42.92</v>
      </c>
      <c r="AF33" s="150"/>
      <c r="AG33" s="34"/>
      <c r="AH33" s="122"/>
      <c r="AI33" s="150"/>
      <c r="AJ33" s="34"/>
      <c r="AK33" s="122"/>
      <c r="AL33" s="150"/>
      <c r="AM33" s="34"/>
      <c r="AN33" s="122"/>
      <c r="AO33" s="150"/>
      <c r="AP33" s="34"/>
      <c r="AQ33" s="122"/>
      <c r="AR33" s="150"/>
      <c r="AS33" s="34"/>
      <c r="AT33" s="122"/>
      <c r="AU33" s="150"/>
      <c r="AV33" s="34"/>
      <c r="AW33" s="122"/>
      <c r="AX33" s="150"/>
      <c r="AY33" s="34"/>
      <c r="AZ33" s="122"/>
      <c r="BA33" s="150"/>
      <c r="BK33" s="107">
        <f aca="true" t="shared" si="0" ref="BK33:BK39">COUNTA(BA33,AX33,AU33,AR33,AL33,AI33,AF33,AO33,AC33,Z33,W33,T33,N33,K33)</f>
        <v>4</v>
      </c>
      <c r="BL33" s="148">
        <f aca="true" t="shared" si="1" ref="BL33:BL39">K33</f>
        <v>0</v>
      </c>
      <c r="BM33" s="148">
        <f aca="true" t="shared" si="2" ref="BM33:BM39">N33</f>
        <v>0</v>
      </c>
      <c r="BN33" s="148">
        <f aca="true" t="shared" si="3" ref="BN33:BN39">T33</f>
        <v>0</v>
      </c>
      <c r="BO33" s="148">
        <f aca="true" t="shared" si="4" ref="BO33:BO39">W33</f>
        <v>0</v>
      </c>
      <c r="BP33" s="148">
        <f aca="true" t="shared" si="5" ref="BP33:BP39">Z33</f>
        <v>0</v>
      </c>
      <c r="BQ33" s="148">
        <f aca="true" t="shared" si="6" ref="BQ33:BQ39">AC33</f>
        <v>0</v>
      </c>
      <c r="BR33" s="148">
        <f aca="true" t="shared" si="7" ref="BR33:BR39">AF33</f>
        <v>0</v>
      </c>
      <c r="BS33" s="148">
        <f aca="true" t="shared" si="8" ref="BS33:BS39">AI33</f>
        <v>0</v>
      </c>
      <c r="BT33" s="148">
        <f aca="true" t="shared" si="9" ref="BT33:BT39">AL33</f>
        <v>0</v>
      </c>
      <c r="BU33" s="148">
        <f aca="true" t="shared" si="10" ref="BU33:BU39">AO33</f>
        <v>0</v>
      </c>
      <c r="BV33" s="148">
        <f aca="true" t="shared" si="11" ref="BV33:BV39">AR33</f>
        <v>0</v>
      </c>
      <c r="BW33" s="148">
        <f aca="true" t="shared" si="12" ref="BW33:BW39">AU33</f>
        <v>0</v>
      </c>
      <c r="BX33" s="148">
        <f aca="true" t="shared" si="13" ref="BX33:BX39">AX33</f>
        <v>0</v>
      </c>
      <c r="BY33" s="148">
        <f aca="true" t="shared" si="14" ref="BY33:BY39">BA33</f>
        <v>0</v>
      </c>
      <c r="BZ33" s="149">
        <f aca="true" t="shared" si="15" ref="BZ33:BZ39">LARGE(BL33:BY33,1)</f>
        <v>0</v>
      </c>
      <c r="CA33" s="149">
        <f aca="true" t="shared" si="16" ref="CA33:CA39">LARGE(BL33:BY33,2)</f>
        <v>0</v>
      </c>
      <c r="CB33" s="149">
        <f aca="true" t="shared" si="17" ref="CB33:CB39">LARGE(BL33:BY33,3)</f>
        <v>0</v>
      </c>
      <c r="CC33" s="149">
        <f aca="true" t="shared" si="18" ref="CC33:CC39">LARGE(BL33:BY33,4)</f>
        <v>0</v>
      </c>
      <c r="CD33" s="149">
        <f aca="true" t="shared" si="19" ref="CD33:CD39">LARGE(BL33:BY33,5)</f>
        <v>0</v>
      </c>
      <c r="CH33" s="122"/>
      <c r="CI33" s="122"/>
      <c r="CJ33" s="125"/>
      <c r="CK33" s="122"/>
      <c r="CL33" s="120"/>
      <c r="CM33" s="125"/>
      <c r="CN33" s="122"/>
      <c r="CO33" s="122"/>
      <c r="CP33" s="125"/>
      <c r="CQ33" s="122"/>
      <c r="CR33" s="120"/>
      <c r="CS33" s="125"/>
      <c r="CT33" s="122"/>
      <c r="CU33" s="120"/>
      <c r="CV33" s="125"/>
      <c r="CW33" s="122"/>
      <c r="CX33" s="122"/>
      <c r="CY33" s="125"/>
      <c r="CZ33" s="122"/>
      <c r="DA33" s="122"/>
      <c r="DB33" s="125"/>
    </row>
    <row r="34" spans="1:106" ht="15">
      <c r="A34" s="238" t="s">
        <v>4</v>
      </c>
      <c r="B34" s="238" t="s">
        <v>77</v>
      </c>
      <c r="C34" s="202" t="s">
        <v>35</v>
      </c>
      <c r="D34" s="203"/>
      <c r="E34" s="90" t="s">
        <v>61</v>
      </c>
      <c r="F34" s="90"/>
      <c r="G34" s="90"/>
      <c r="H34" s="90"/>
      <c r="I34" s="140">
        <v>200</v>
      </c>
      <c r="J34" s="141">
        <v>24.78</v>
      </c>
      <c r="K34" s="142">
        <v>566</v>
      </c>
      <c r="L34" s="143"/>
      <c r="M34" s="141"/>
      <c r="N34" s="144"/>
      <c r="O34" s="145"/>
      <c r="P34" s="145"/>
      <c r="Q34" s="146"/>
      <c r="R34" s="154">
        <v>200</v>
      </c>
      <c r="S34" s="147">
        <v>24.34</v>
      </c>
      <c r="T34" s="142">
        <v>632</v>
      </c>
      <c r="U34" s="143"/>
      <c r="V34" s="147"/>
      <c r="W34" s="142"/>
      <c r="X34" s="143"/>
      <c r="Y34" s="141"/>
      <c r="Z34" s="142"/>
      <c r="AA34" s="143"/>
      <c r="AB34" s="141"/>
      <c r="AC34" s="142"/>
      <c r="AD34" s="143"/>
      <c r="AE34" s="141"/>
      <c r="AF34" s="142"/>
      <c r="AG34" s="34">
        <v>100</v>
      </c>
      <c r="AH34" s="122">
        <v>12.04</v>
      </c>
      <c r="AI34" s="150">
        <v>605</v>
      </c>
      <c r="AJ34" s="143"/>
      <c r="AK34" s="141"/>
      <c r="AL34" s="142"/>
      <c r="AM34" s="143"/>
      <c r="AN34" s="141"/>
      <c r="AO34" s="142"/>
      <c r="AP34" s="143"/>
      <c r="AQ34" s="141"/>
      <c r="AR34" s="142"/>
      <c r="AS34" s="143"/>
      <c r="AT34" s="141"/>
      <c r="AU34" s="142"/>
      <c r="AV34" s="143"/>
      <c r="AW34" s="141"/>
      <c r="AX34" s="142"/>
      <c r="AY34" s="143"/>
      <c r="AZ34" s="141"/>
      <c r="BA34" s="142"/>
      <c r="BK34" s="107">
        <f t="shared" si="0"/>
        <v>3</v>
      </c>
      <c r="BL34" s="148">
        <f t="shared" si="1"/>
        <v>566</v>
      </c>
      <c r="BM34" s="148">
        <f t="shared" si="2"/>
        <v>0</v>
      </c>
      <c r="BN34" s="148">
        <f t="shared" si="3"/>
        <v>632</v>
      </c>
      <c r="BO34" s="148">
        <f t="shared" si="4"/>
        <v>0</v>
      </c>
      <c r="BP34" s="148">
        <f t="shared" si="5"/>
        <v>0</v>
      </c>
      <c r="BQ34" s="148">
        <f t="shared" si="6"/>
        <v>0</v>
      </c>
      <c r="BR34" s="148">
        <f t="shared" si="7"/>
        <v>0</v>
      </c>
      <c r="BS34" s="148">
        <f t="shared" si="8"/>
        <v>605</v>
      </c>
      <c r="BT34" s="148">
        <f t="shared" si="9"/>
        <v>0</v>
      </c>
      <c r="BU34" s="148">
        <f t="shared" si="10"/>
        <v>0</v>
      </c>
      <c r="BV34" s="148">
        <f t="shared" si="11"/>
        <v>0</v>
      </c>
      <c r="BW34" s="148">
        <f t="shared" si="12"/>
        <v>0</v>
      </c>
      <c r="BX34" s="148">
        <f t="shared" si="13"/>
        <v>0</v>
      </c>
      <c r="BY34" s="148">
        <f t="shared" si="14"/>
        <v>0</v>
      </c>
      <c r="BZ34" s="149">
        <f t="shared" si="15"/>
        <v>632</v>
      </c>
      <c r="CA34" s="149">
        <f t="shared" si="16"/>
        <v>605</v>
      </c>
      <c r="CB34" s="149">
        <f t="shared" si="17"/>
        <v>566</v>
      </c>
      <c r="CC34" s="149">
        <f t="shared" si="18"/>
        <v>0</v>
      </c>
      <c r="CD34" s="149">
        <f t="shared" si="19"/>
        <v>0</v>
      </c>
      <c r="CH34" s="122"/>
      <c r="CI34" s="122"/>
      <c r="CJ34" s="125"/>
      <c r="CK34" s="122">
        <v>200</v>
      </c>
      <c r="CL34" s="120">
        <v>24.43</v>
      </c>
      <c r="CM34" s="125">
        <v>622</v>
      </c>
      <c r="CN34" s="122"/>
      <c r="CO34" s="122"/>
      <c r="CP34" s="125"/>
      <c r="CQ34" s="122"/>
      <c r="CR34" s="120"/>
      <c r="CS34" s="125"/>
      <c r="CT34" s="122"/>
      <c r="CU34" s="120"/>
      <c r="CV34" s="125"/>
      <c r="CW34" s="122"/>
      <c r="CX34" s="122"/>
      <c r="CY34" s="125"/>
      <c r="CZ34" s="122"/>
      <c r="DA34" s="122"/>
      <c r="DB34" s="125"/>
    </row>
    <row r="35" spans="1:106" ht="15">
      <c r="A35" s="244" t="s">
        <v>90</v>
      </c>
      <c r="B35" s="244" t="s">
        <v>92</v>
      </c>
      <c r="C35" s="211" t="s">
        <v>145</v>
      </c>
      <c r="D35" s="212"/>
      <c r="E35" s="92" t="s">
        <v>89</v>
      </c>
      <c r="F35" s="92"/>
      <c r="G35" s="90"/>
      <c r="H35" s="92"/>
      <c r="I35" s="140">
        <v>400</v>
      </c>
      <c r="J35" s="141" t="s">
        <v>298</v>
      </c>
      <c r="K35" s="142">
        <v>0</v>
      </c>
      <c r="L35" s="143"/>
      <c r="M35" s="122"/>
      <c r="N35" s="151"/>
      <c r="O35" s="152"/>
      <c r="P35" s="152"/>
      <c r="Q35" s="153"/>
      <c r="R35" s="154"/>
      <c r="S35" s="120"/>
      <c r="T35" s="150"/>
      <c r="U35" s="34"/>
      <c r="V35" s="120"/>
      <c r="W35" s="150"/>
      <c r="X35" s="34"/>
      <c r="Y35" s="122"/>
      <c r="Z35" s="150"/>
      <c r="AA35" s="34"/>
      <c r="AB35" s="122"/>
      <c r="AC35" s="150"/>
      <c r="AD35" s="34"/>
      <c r="AE35" s="122"/>
      <c r="AF35" s="150"/>
      <c r="AG35" s="34"/>
      <c r="AH35" s="122"/>
      <c r="AI35" s="150"/>
      <c r="AJ35" s="34"/>
      <c r="AK35" s="122"/>
      <c r="AL35" s="150"/>
      <c r="AM35" s="34"/>
      <c r="AN35" s="122"/>
      <c r="AO35" s="150"/>
      <c r="AP35" s="34"/>
      <c r="AQ35" s="122"/>
      <c r="AR35" s="150"/>
      <c r="AS35" s="34"/>
      <c r="AT35" s="122"/>
      <c r="AU35" s="150"/>
      <c r="AV35" s="34"/>
      <c r="AW35" s="122"/>
      <c r="AX35" s="150"/>
      <c r="AY35" s="34"/>
      <c r="AZ35" s="122"/>
      <c r="BA35" s="150"/>
      <c r="BK35" s="107">
        <f t="shared" si="0"/>
        <v>1</v>
      </c>
      <c r="BL35" s="148">
        <f t="shared" si="1"/>
        <v>0</v>
      </c>
      <c r="BM35" s="148">
        <f t="shared" si="2"/>
        <v>0</v>
      </c>
      <c r="BN35" s="148">
        <f t="shared" si="3"/>
        <v>0</v>
      </c>
      <c r="BO35" s="148">
        <f t="shared" si="4"/>
        <v>0</v>
      </c>
      <c r="BP35" s="148">
        <f t="shared" si="5"/>
        <v>0</v>
      </c>
      <c r="BQ35" s="148">
        <f t="shared" si="6"/>
        <v>0</v>
      </c>
      <c r="BR35" s="148">
        <f t="shared" si="7"/>
        <v>0</v>
      </c>
      <c r="BS35" s="148">
        <f t="shared" si="8"/>
        <v>0</v>
      </c>
      <c r="BT35" s="148">
        <f t="shared" si="9"/>
        <v>0</v>
      </c>
      <c r="BU35" s="148">
        <f t="shared" si="10"/>
        <v>0</v>
      </c>
      <c r="BV35" s="148">
        <f t="shared" si="11"/>
        <v>0</v>
      </c>
      <c r="BW35" s="148">
        <f t="shared" si="12"/>
        <v>0</v>
      </c>
      <c r="BX35" s="148">
        <f t="shared" si="13"/>
        <v>0</v>
      </c>
      <c r="BY35" s="148">
        <f t="shared" si="14"/>
        <v>0</v>
      </c>
      <c r="BZ35" s="149">
        <f t="shared" si="15"/>
        <v>0</v>
      </c>
      <c r="CA35" s="149">
        <f t="shared" si="16"/>
        <v>0</v>
      </c>
      <c r="CB35" s="149">
        <f t="shared" si="17"/>
        <v>0</v>
      </c>
      <c r="CC35" s="149">
        <f t="shared" si="18"/>
        <v>0</v>
      </c>
      <c r="CD35" s="149">
        <f t="shared" si="19"/>
        <v>0</v>
      </c>
      <c r="CH35" s="122"/>
      <c r="CI35" s="122"/>
      <c r="CJ35" s="125"/>
      <c r="CK35" s="122"/>
      <c r="CL35" s="120"/>
      <c r="CM35" s="125"/>
      <c r="CN35" s="122"/>
      <c r="CO35" s="122"/>
      <c r="CP35" s="125"/>
      <c r="CQ35" s="122"/>
      <c r="CR35" s="120"/>
      <c r="CS35" s="125"/>
      <c r="CT35" s="122"/>
      <c r="CU35" s="120"/>
      <c r="CV35" s="125"/>
      <c r="CW35" s="122"/>
      <c r="CX35" s="122"/>
      <c r="CY35" s="125"/>
      <c r="CZ35" s="122"/>
      <c r="DA35" s="122"/>
      <c r="DB35" s="125"/>
    </row>
    <row r="36" spans="1:106" ht="15">
      <c r="A36" s="245" t="s">
        <v>90</v>
      </c>
      <c r="B36" s="246" t="s">
        <v>91</v>
      </c>
      <c r="C36" s="221" t="s">
        <v>307</v>
      </c>
      <c r="D36" s="208"/>
      <c r="E36" s="92" t="s">
        <v>89</v>
      </c>
      <c r="F36" s="92"/>
      <c r="G36" s="90"/>
      <c r="H36" s="92"/>
      <c r="I36" s="140">
        <v>400</v>
      </c>
      <c r="J36" s="155" t="s">
        <v>299</v>
      </c>
      <c r="K36" s="142">
        <v>0</v>
      </c>
      <c r="L36" s="143">
        <v>100</v>
      </c>
      <c r="M36" s="155">
        <v>18.74</v>
      </c>
      <c r="N36" s="151">
        <v>0</v>
      </c>
      <c r="O36" s="152"/>
      <c r="P36" s="152"/>
      <c r="Q36" s="153"/>
      <c r="R36" s="154">
        <v>200</v>
      </c>
      <c r="S36" s="120">
        <v>38.34</v>
      </c>
      <c r="T36" s="150">
        <v>0</v>
      </c>
      <c r="U36" s="34"/>
      <c r="V36" s="120"/>
      <c r="W36" s="150"/>
      <c r="X36" s="34"/>
      <c r="Y36" s="122"/>
      <c r="Z36" s="150"/>
      <c r="AA36" s="34"/>
      <c r="AB36" s="122"/>
      <c r="AC36" s="150"/>
      <c r="AD36" s="34"/>
      <c r="AE36" s="122"/>
      <c r="AF36" s="150"/>
      <c r="AG36" s="34"/>
      <c r="AH36" s="122"/>
      <c r="AI36" s="150"/>
      <c r="AJ36" s="34"/>
      <c r="AK36" s="122"/>
      <c r="AL36" s="150"/>
      <c r="AM36" s="34"/>
      <c r="AN36" s="122"/>
      <c r="AO36" s="150"/>
      <c r="AP36" s="34"/>
      <c r="AQ36" s="122"/>
      <c r="AR36" s="150"/>
      <c r="AS36" s="34"/>
      <c r="AT36" s="122"/>
      <c r="AU36" s="150"/>
      <c r="AV36" s="34"/>
      <c r="AW36" s="122"/>
      <c r="AX36" s="150"/>
      <c r="AY36" s="34"/>
      <c r="AZ36" s="122"/>
      <c r="BA36" s="150"/>
      <c r="BK36" s="107">
        <f t="shared" si="0"/>
        <v>3</v>
      </c>
      <c r="BL36" s="148">
        <f t="shared" si="1"/>
        <v>0</v>
      </c>
      <c r="BM36" s="148">
        <f t="shared" si="2"/>
        <v>0</v>
      </c>
      <c r="BN36" s="148">
        <f t="shared" si="3"/>
        <v>0</v>
      </c>
      <c r="BO36" s="148">
        <f t="shared" si="4"/>
        <v>0</v>
      </c>
      <c r="BP36" s="148">
        <f t="shared" si="5"/>
        <v>0</v>
      </c>
      <c r="BQ36" s="148">
        <f t="shared" si="6"/>
        <v>0</v>
      </c>
      <c r="BR36" s="148">
        <f t="shared" si="7"/>
        <v>0</v>
      </c>
      <c r="BS36" s="148">
        <f t="shared" si="8"/>
        <v>0</v>
      </c>
      <c r="BT36" s="148">
        <f t="shared" si="9"/>
        <v>0</v>
      </c>
      <c r="BU36" s="148">
        <f t="shared" si="10"/>
        <v>0</v>
      </c>
      <c r="BV36" s="148">
        <f t="shared" si="11"/>
        <v>0</v>
      </c>
      <c r="BW36" s="148">
        <f t="shared" si="12"/>
        <v>0</v>
      </c>
      <c r="BX36" s="148">
        <f t="shared" si="13"/>
        <v>0</v>
      </c>
      <c r="BY36" s="148">
        <f t="shared" si="14"/>
        <v>0</v>
      </c>
      <c r="BZ36" s="149">
        <f t="shared" si="15"/>
        <v>0</v>
      </c>
      <c r="CA36" s="149">
        <f t="shared" si="16"/>
        <v>0</v>
      </c>
      <c r="CB36" s="149">
        <f t="shared" si="17"/>
        <v>0</v>
      </c>
      <c r="CC36" s="149">
        <f t="shared" si="18"/>
        <v>0</v>
      </c>
      <c r="CD36" s="149">
        <f t="shared" si="19"/>
        <v>0</v>
      </c>
      <c r="CH36" s="122"/>
      <c r="CI36" s="122"/>
      <c r="CJ36" s="125"/>
      <c r="CK36" s="122"/>
      <c r="CL36" s="120"/>
      <c r="CM36" s="125"/>
      <c r="CN36" s="122"/>
      <c r="CO36" s="122"/>
      <c r="CP36" s="125"/>
      <c r="CQ36" s="122"/>
      <c r="CR36" s="120"/>
      <c r="CS36" s="125"/>
      <c r="CT36" s="122"/>
      <c r="CU36" s="120"/>
      <c r="CV36" s="125"/>
      <c r="CW36" s="122"/>
      <c r="CX36" s="122"/>
      <c r="CY36" s="125"/>
      <c r="CZ36" s="122"/>
      <c r="DA36" s="122"/>
      <c r="DB36" s="125"/>
    </row>
    <row r="37" spans="1:106" ht="15">
      <c r="A37" s="247" t="s">
        <v>12</v>
      </c>
      <c r="B37" s="242" t="s">
        <v>68</v>
      </c>
      <c r="C37" s="90" t="s">
        <v>47</v>
      </c>
      <c r="D37" s="224"/>
      <c r="E37" s="90" t="s">
        <v>69</v>
      </c>
      <c r="F37" s="90"/>
      <c r="G37" s="90"/>
      <c r="H37" s="91"/>
      <c r="I37" s="140">
        <v>200</v>
      </c>
      <c r="J37" s="141">
        <v>29.24</v>
      </c>
      <c r="K37" s="142">
        <v>592</v>
      </c>
      <c r="L37" s="143">
        <v>100</v>
      </c>
      <c r="M37" s="122">
        <v>13.74</v>
      </c>
      <c r="N37" s="151">
        <v>676</v>
      </c>
      <c r="O37" s="152"/>
      <c r="P37" s="152"/>
      <c r="Q37" s="153"/>
      <c r="R37" s="154"/>
      <c r="S37" s="120"/>
      <c r="T37" s="150"/>
      <c r="U37" s="34">
        <v>100</v>
      </c>
      <c r="V37" s="120">
        <v>13.75</v>
      </c>
      <c r="W37" s="150">
        <v>675</v>
      </c>
      <c r="X37" s="34"/>
      <c r="Y37" s="122"/>
      <c r="Z37" s="150"/>
      <c r="AA37" s="34">
        <v>100</v>
      </c>
      <c r="AB37" s="122">
        <v>14.17</v>
      </c>
      <c r="AC37" s="150">
        <v>608</v>
      </c>
      <c r="AD37" s="34"/>
      <c r="AE37" s="122"/>
      <c r="AF37" s="150"/>
      <c r="AG37" s="34"/>
      <c r="AH37" s="122"/>
      <c r="AI37" s="150"/>
      <c r="AJ37" s="34"/>
      <c r="AK37" s="122"/>
      <c r="AL37" s="150"/>
      <c r="AM37" s="34"/>
      <c r="AN37" s="122"/>
      <c r="AO37" s="150"/>
      <c r="AP37" s="34"/>
      <c r="AQ37" s="122"/>
      <c r="AR37" s="150"/>
      <c r="AS37" s="34"/>
      <c r="AT37" s="122"/>
      <c r="AU37" s="150"/>
      <c r="AV37" s="34"/>
      <c r="AW37" s="122"/>
      <c r="AX37" s="150"/>
      <c r="AY37" s="34"/>
      <c r="AZ37" s="122"/>
      <c r="BA37" s="150"/>
      <c r="BK37" s="107">
        <f t="shared" si="0"/>
        <v>4</v>
      </c>
      <c r="BL37" s="148">
        <f t="shared" si="1"/>
        <v>592</v>
      </c>
      <c r="BM37" s="148">
        <f t="shared" si="2"/>
        <v>676</v>
      </c>
      <c r="BN37" s="148">
        <f t="shared" si="3"/>
        <v>0</v>
      </c>
      <c r="BO37" s="148">
        <f t="shared" si="4"/>
        <v>675</v>
      </c>
      <c r="BP37" s="148">
        <f t="shared" si="5"/>
        <v>0</v>
      </c>
      <c r="BQ37" s="148">
        <f t="shared" si="6"/>
        <v>608</v>
      </c>
      <c r="BR37" s="148">
        <f t="shared" si="7"/>
        <v>0</v>
      </c>
      <c r="BS37" s="148">
        <f t="shared" si="8"/>
        <v>0</v>
      </c>
      <c r="BT37" s="148">
        <f t="shared" si="9"/>
        <v>0</v>
      </c>
      <c r="BU37" s="148">
        <f t="shared" si="10"/>
        <v>0</v>
      </c>
      <c r="BV37" s="148">
        <f t="shared" si="11"/>
        <v>0</v>
      </c>
      <c r="BW37" s="148">
        <f t="shared" si="12"/>
        <v>0</v>
      </c>
      <c r="BX37" s="148">
        <f t="shared" si="13"/>
        <v>0</v>
      </c>
      <c r="BY37" s="148">
        <f t="shared" si="14"/>
        <v>0</v>
      </c>
      <c r="BZ37" s="149">
        <f t="shared" si="15"/>
        <v>676</v>
      </c>
      <c r="CA37" s="149">
        <f t="shared" si="16"/>
        <v>675</v>
      </c>
      <c r="CB37" s="149">
        <f t="shared" si="17"/>
        <v>608</v>
      </c>
      <c r="CC37" s="149">
        <f t="shared" si="18"/>
        <v>592</v>
      </c>
      <c r="CD37" s="149">
        <f t="shared" si="19"/>
        <v>0</v>
      </c>
      <c r="CH37" s="122"/>
      <c r="CI37" s="122"/>
      <c r="CJ37" s="125"/>
      <c r="CK37" s="122"/>
      <c r="CL37" s="120"/>
      <c r="CM37" s="125"/>
      <c r="CN37" s="122"/>
      <c r="CO37" s="122"/>
      <c r="CP37" s="125"/>
      <c r="CQ37" s="122"/>
      <c r="CR37" s="120"/>
      <c r="CS37" s="125"/>
      <c r="CT37" s="122"/>
      <c r="CU37" s="120"/>
      <c r="CV37" s="125"/>
      <c r="CW37" s="122"/>
      <c r="CX37" s="122"/>
      <c r="CY37" s="125"/>
      <c r="CZ37" s="122"/>
      <c r="DA37" s="122"/>
      <c r="DB37" s="125"/>
    </row>
    <row r="38" spans="1:106" ht="15">
      <c r="A38" s="248" t="s">
        <v>57</v>
      </c>
      <c r="B38" s="248" t="s">
        <v>58</v>
      </c>
      <c r="C38" s="220" t="s">
        <v>59</v>
      </c>
      <c r="D38" s="225"/>
      <c r="E38" s="92" t="s">
        <v>20</v>
      </c>
      <c r="F38" s="92"/>
      <c r="G38" s="90"/>
      <c r="H38" s="92"/>
      <c r="I38" s="140">
        <v>200</v>
      </c>
      <c r="J38" s="141">
        <v>3194</v>
      </c>
      <c r="K38" s="142">
        <v>64</v>
      </c>
      <c r="L38" s="143">
        <v>100</v>
      </c>
      <c r="M38" s="122">
        <v>14.34</v>
      </c>
      <c r="N38" s="151">
        <v>174</v>
      </c>
      <c r="O38" s="152"/>
      <c r="P38" s="152"/>
      <c r="Q38" s="153"/>
      <c r="R38" s="154">
        <v>100</v>
      </c>
      <c r="S38" s="120">
        <v>14.64</v>
      </c>
      <c r="T38" s="150">
        <v>137</v>
      </c>
      <c r="U38" s="34">
        <v>100</v>
      </c>
      <c r="V38" s="120">
        <v>14.42</v>
      </c>
      <c r="W38" s="150">
        <v>163</v>
      </c>
      <c r="X38" s="34"/>
      <c r="Y38" s="122"/>
      <c r="Z38" s="150"/>
      <c r="AA38" s="34"/>
      <c r="AB38" s="122"/>
      <c r="AC38" s="150"/>
      <c r="AD38" s="34"/>
      <c r="AE38" s="122"/>
      <c r="AF38" s="150"/>
      <c r="AG38" s="34">
        <v>200</v>
      </c>
      <c r="AH38" s="122">
        <v>33.84</v>
      </c>
      <c r="AI38" s="150">
        <v>13</v>
      </c>
      <c r="AJ38" s="34"/>
      <c r="AK38" s="122"/>
      <c r="AL38" s="150"/>
      <c r="AM38" s="34"/>
      <c r="AN38" s="122"/>
      <c r="AO38" s="150"/>
      <c r="AP38" s="34"/>
      <c r="AQ38" s="122"/>
      <c r="AR38" s="150"/>
      <c r="AS38" s="34"/>
      <c r="AT38" s="122"/>
      <c r="AU38" s="150"/>
      <c r="AV38" s="34"/>
      <c r="AW38" s="122"/>
      <c r="AX38" s="150"/>
      <c r="AY38" s="34"/>
      <c r="AZ38" s="122"/>
      <c r="BA38" s="150"/>
      <c r="BK38" s="107">
        <f t="shared" si="0"/>
        <v>5</v>
      </c>
      <c r="BL38" s="148">
        <f t="shared" si="1"/>
        <v>64</v>
      </c>
      <c r="BM38" s="148">
        <f t="shared" si="2"/>
        <v>174</v>
      </c>
      <c r="BN38" s="148">
        <f t="shared" si="3"/>
        <v>137</v>
      </c>
      <c r="BO38" s="148">
        <f t="shared" si="4"/>
        <v>163</v>
      </c>
      <c r="BP38" s="148">
        <f t="shared" si="5"/>
        <v>0</v>
      </c>
      <c r="BQ38" s="148">
        <f t="shared" si="6"/>
        <v>0</v>
      </c>
      <c r="BR38" s="148">
        <f t="shared" si="7"/>
        <v>0</v>
      </c>
      <c r="BS38" s="148">
        <f t="shared" si="8"/>
        <v>13</v>
      </c>
      <c r="BT38" s="148">
        <f t="shared" si="9"/>
        <v>0</v>
      </c>
      <c r="BU38" s="148">
        <f t="shared" si="10"/>
        <v>0</v>
      </c>
      <c r="BV38" s="148">
        <f t="shared" si="11"/>
        <v>0</v>
      </c>
      <c r="BW38" s="148">
        <f t="shared" si="12"/>
        <v>0</v>
      </c>
      <c r="BX38" s="148">
        <f t="shared" si="13"/>
        <v>0</v>
      </c>
      <c r="BY38" s="148">
        <f t="shared" si="14"/>
        <v>0</v>
      </c>
      <c r="BZ38" s="149">
        <f t="shared" si="15"/>
        <v>174</v>
      </c>
      <c r="CA38" s="149">
        <f t="shared" si="16"/>
        <v>163</v>
      </c>
      <c r="CB38" s="149">
        <f t="shared" si="17"/>
        <v>137</v>
      </c>
      <c r="CC38" s="149">
        <f t="shared" si="18"/>
        <v>64</v>
      </c>
      <c r="CD38" s="149">
        <f t="shared" si="19"/>
        <v>13</v>
      </c>
      <c r="CH38" s="122"/>
      <c r="CI38" s="122"/>
      <c r="CJ38" s="125"/>
      <c r="CK38" s="122"/>
      <c r="CL38" s="120"/>
      <c r="CM38" s="125"/>
      <c r="CN38" s="122"/>
      <c r="CO38" s="122"/>
      <c r="CP38" s="125"/>
      <c r="CQ38" s="122"/>
      <c r="CR38" s="120"/>
      <c r="CS38" s="125"/>
      <c r="CT38" s="122"/>
      <c r="CU38" s="120"/>
      <c r="CV38" s="125"/>
      <c r="CW38" s="122"/>
      <c r="CX38" s="122"/>
      <c r="CY38" s="125"/>
      <c r="CZ38" s="122"/>
      <c r="DA38" s="122"/>
      <c r="DB38" s="125"/>
    </row>
    <row r="39" spans="1:106" ht="15">
      <c r="A39" s="249" t="s">
        <v>81</v>
      </c>
      <c r="B39" s="249" t="s">
        <v>82</v>
      </c>
      <c r="C39" s="185" t="s">
        <v>59</v>
      </c>
      <c r="D39" s="185"/>
      <c r="E39" s="90" t="s">
        <v>69</v>
      </c>
      <c r="F39" s="90"/>
      <c r="G39" s="90"/>
      <c r="H39" s="90"/>
      <c r="I39" s="140">
        <v>200</v>
      </c>
      <c r="J39" s="141">
        <v>27.64</v>
      </c>
      <c r="K39" s="142">
        <v>313</v>
      </c>
      <c r="L39" s="143">
        <v>100</v>
      </c>
      <c r="M39" s="141">
        <v>13.04</v>
      </c>
      <c r="N39" s="144">
        <v>386</v>
      </c>
      <c r="O39" s="145"/>
      <c r="P39" s="145"/>
      <c r="Q39" s="146"/>
      <c r="R39" s="140"/>
      <c r="S39" s="147"/>
      <c r="T39" s="142"/>
      <c r="U39" s="34"/>
      <c r="V39" s="147"/>
      <c r="W39" s="142"/>
      <c r="X39" s="143"/>
      <c r="Y39" s="141"/>
      <c r="Z39" s="142"/>
      <c r="AA39" s="143">
        <v>100</v>
      </c>
      <c r="AB39" s="141">
        <v>13.17</v>
      </c>
      <c r="AC39" s="142">
        <v>361</v>
      </c>
      <c r="AD39" s="143"/>
      <c r="AE39" s="141"/>
      <c r="AF39" s="142"/>
      <c r="AG39" s="143"/>
      <c r="AH39" s="141"/>
      <c r="AI39" s="142"/>
      <c r="AJ39" s="157"/>
      <c r="AK39" s="141"/>
      <c r="AL39" s="142"/>
      <c r="AM39" s="143"/>
      <c r="AN39" s="141"/>
      <c r="AO39" s="142"/>
      <c r="AP39" s="143"/>
      <c r="AQ39" s="141"/>
      <c r="AR39" s="142"/>
      <c r="AS39" s="143"/>
      <c r="AT39" s="141"/>
      <c r="AU39" s="142"/>
      <c r="AV39" s="143"/>
      <c r="AW39" s="141"/>
      <c r="AX39" s="142"/>
      <c r="AY39" s="143"/>
      <c r="AZ39" s="141"/>
      <c r="BA39" s="142"/>
      <c r="BK39" s="107">
        <f t="shared" si="0"/>
        <v>3</v>
      </c>
      <c r="BL39" s="148">
        <f t="shared" si="1"/>
        <v>313</v>
      </c>
      <c r="BM39" s="148">
        <f t="shared" si="2"/>
        <v>386</v>
      </c>
      <c r="BN39" s="148">
        <f t="shared" si="3"/>
        <v>0</v>
      </c>
      <c r="BO39" s="148">
        <f t="shared" si="4"/>
        <v>0</v>
      </c>
      <c r="BP39" s="148">
        <f t="shared" si="5"/>
        <v>0</v>
      </c>
      <c r="BQ39" s="148">
        <f t="shared" si="6"/>
        <v>361</v>
      </c>
      <c r="BR39" s="148">
        <f t="shared" si="7"/>
        <v>0</v>
      </c>
      <c r="BS39" s="148">
        <f t="shared" si="8"/>
        <v>0</v>
      </c>
      <c r="BT39" s="148">
        <f t="shared" si="9"/>
        <v>0</v>
      </c>
      <c r="BU39" s="148">
        <f t="shared" si="10"/>
        <v>0</v>
      </c>
      <c r="BV39" s="148">
        <f t="shared" si="11"/>
        <v>0</v>
      </c>
      <c r="BW39" s="148">
        <f t="shared" si="12"/>
        <v>0</v>
      </c>
      <c r="BX39" s="148">
        <f t="shared" si="13"/>
        <v>0</v>
      </c>
      <c r="BY39" s="148">
        <f t="shared" si="14"/>
        <v>0</v>
      </c>
      <c r="BZ39" s="149">
        <f t="shared" si="15"/>
        <v>386</v>
      </c>
      <c r="CA39" s="149">
        <f t="shared" si="16"/>
        <v>361</v>
      </c>
      <c r="CB39" s="149">
        <f t="shared" si="17"/>
        <v>313</v>
      </c>
      <c r="CC39" s="149">
        <f t="shared" si="18"/>
        <v>0</v>
      </c>
      <c r="CD39" s="149">
        <f t="shared" si="19"/>
        <v>0</v>
      </c>
      <c r="CH39" s="122"/>
      <c r="CI39" s="122"/>
      <c r="CJ39" s="125"/>
      <c r="CK39" s="122"/>
      <c r="CL39" s="120"/>
      <c r="CM39" s="125"/>
      <c r="CN39" s="122"/>
      <c r="CO39" s="122"/>
      <c r="CP39" s="125"/>
      <c r="CQ39" s="122"/>
      <c r="CR39" s="120"/>
      <c r="CS39" s="125"/>
      <c r="CT39" s="122"/>
      <c r="CU39" s="120"/>
      <c r="CV39" s="125"/>
      <c r="CW39" s="122"/>
      <c r="CX39" s="122"/>
      <c r="CY39" s="125"/>
      <c r="CZ39" s="122"/>
      <c r="DA39" s="122"/>
      <c r="DB39" s="125"/>
    </row>
    <row r="40" spans="1:106" ht="15">
      <c r="A40" s="241" t="s">
        <v>241</v>
      </c>
      <c r="B40" s="241" t="s">
        <v>242</v>
      </c>
      <c r="C40" s="90" t="s">
        <v>35</v>
      </c>
      <c r="D40" s="90"/>
      <c r="E40" s="90" t="s">
        <v>11</v>
      </c>
      <c r="F40" s="90"/>
      <c r="G40" s="90"/>
      <c r="H40" s="90"/>
      <c r="I40" s="140"/>
      <c r="J40" s="141"/>
      <c r="K40" s="142"/>
      <c r="L40" s="143"/>
      <c r="M40" s="141"/>
      <c r="N40" s="144"/>
      <c r="O40" s="145"/>
      <c r="P40" s="145"/>
      <c r="Q40" s="146"/>
      <c r="R40" s="140"/>
      <c r="S40" s="147"/>
      <c r="T40" s="142"/>
      <c r="U40" s="34"/>
      <c r="V40" s="147"/>
      <c r="W40" s="142"/>
      <c r="X40" s="143"/>
      <c r="Y40" s="141"/>
      <c r="Z40" s="142"/>
      <c r="AA40" s="143">
        <v>100</v>
      </c>
      <c r="AB40" s="141">
        <v>13.12</v>
      </c>
      <c r="AC40" s="142">
        <v>370</v>
      </c>
      <c r="AD40" s="143">
        <v>200</v>
      </c>
      <c r="AE40" s="141">
        <v>26.39</v>
      </c>
      <c r="AF40" s="142">
        <v>421</v>
      </c>
      <c r="AG40" s="143"/>
      <c r="AH40" s="141"/>
      <c r="AI40" s="142"/>
      <c r="AJ40" s="157"/>
      <c r="AK40" s="141"/>
      <c r="AL40" s="142"/>
      <c r="AM40" s="143"/>
      <c r="AN40" s="141"/>
      <c r="AO40" s="142"/>
      <c r="AP40" s="143"/>
      <c r="AQ40" s="141"/>
      <c r="AR40" s="142"/>
      <c r="AS40" s="143"/>
      <c r="AT40" s="141"/>
      <c r="AU40" s="142"/>
      <c r="AV40" s="143" t="s">
        <v>296</v>
      </c>
      <c r="AW40" s="141">
        <v>12.76</v>
      </c>
      <c r="AX40" s="142">
        <v>442</v>
      </c>
      <c r="AY40" s="143"/>
      <c r="AZ40" s="141"/>
      <c r="BA40" s="142"/>
      <c r="CH40" s="122"/>
      <c r="CI40" s="122"/>
      <c r="CJ40" s="125"/>
      <c r="CK40" s="122">
        <v>200</v>
      </c>
      <c r="CL40" s="120">
        <v>26.39</v>
      </c>
      <c r="CM40" s="125">
        <v>421</v>
      </c>
      <c r="CN40" s="122"/>
      <c r="CO40" s="122"/>
      <c r="CP40" s="125"/>
      <c r="CQ40" s="122"/>
      <c r="CR40" s="120"/>
      <c r="CS40" s="125"/>
      <c r="CT40" s="122"/>
      <c r="CU40" s="120"/>
      <c r="CV40" s="125"/>
      <c r="CW40" s="122"/>
      <c r="CX40" s="122"/>
      <c r="CY40" s="125"/>
      <c r="CZ40" s="122"/>
      <c r="DA40" s="122"/>
      <c r="DB40" s="125"/>
    </row>
    <row r="41" spans="1:106" ht="15">
      <c r="A41" s="241" t="s">
        <v>63</v>
      </c>
      <c r="B41" s="241" t="s">
        <v>70</v>
      </c>
      <c r="C41" s="90" t="s">
        <v>47</v>
      </c>
      <c r="D41" s="91"/>
      <c r="E41" s="90" t="s">
        <v>61</v>
      </c>
      <c r="F41" s="90"/>
      <c r="G41" s="90"/>
      <c r="H41" s="91"/>
      <c r="I41" s="140">
        <v>200</v>
      </c>
      <c r="J41" s="141">
        <v>30.44</v>
      </c>
      <c r="K41" s="142">
        <v>508</v>
      </c>
      <c r="L41" s="143"/>
      <c r="M41" s="122"/>
      <c r="N41" s="151"/>
      <c r="O41" s="152">
        <v>300</v>
      </c>
      <c r="P41" s="152">
        <v>48.9</v>
      </c>
      <c r="Q41" s="153">
        <v>544</v>
      </c>
      <c r="R41" s="154">
        <v>200</v>
      </c>
      <c r="S41" s="120">
        <v>30.94</v>
      </c>
      <c r="T41" s="150">
        <v>475</v>
      </c>
      <c r="U41" s="34"/>
      <c r="V41" s="120"/>
      <c r="W41" s="150"/>
      <c r="X41" s="34"/>
      <c r="Y41" s="122"/>
      <c r="Z41" s="150"/>
      <c r="AA41" s="34">
        <v>200</v>
      </c>
      <c r="AB41" s="122">
        <v>30.73</v>
      </c>
      <c r="AC41" s="150">
        <v>489</v>
      </c>
      <c r="AD41" s="34"/>
      <c r="AE41" s="122"/>
      <c r="AF41" s="150"/>
      <c r="AG41" s="34"/>
      <c r="AH41" s="122"/>
      <c r="AI41" s="150"/>
      <c r="AJ41" s="158"/>
      <c r="AK41" s="122"/>
      <c r="AL41" s="150"/>
      <c r="AM41" s="34"/>
      <c r="AN41" s="122"/>
      <c r="AO41" s="150"/>
      <c r="AP41" s="34"/>
      <c r="AQ41" s="122"/>
      <c r="AR41" s="150"/>
      <c r="AS41" s="34"/>
      <c r="AT41" s="122"/>
      <c r="AU41" s="150"/>
      <c r="AV41" s="34"/>
      <c r="AW41" s="122"/>
      <c r="AX41" s="150"/>
      <c r="AY41" s="34"/>
      <c r="AZ41" s="122"/>
      <c r="BA41" s="150"/>
      <c r="BK41" s="107">
        <f>COUNTA(BA41,AX41,AU41,AR41,AL41,AI41,AF41,AO41,AC41,Z41,W41,T41,N41,K41)</f>
        <v>3</v>
      </c>
      <c r="BL41" s="148">
        <f>K41</f>
        <v>508</v>
      </c>
      <c r="BM41" s="148">
        <f>N41</f>
        <v>0</v>
      </c>
      <c r="BN41" s="148">
        <f>T41</f>
        <v>475</v>
      </c>
      <c r="BO41" s="148">
        <f>W41</f>
        <v>0</v>
      </c>
      <c r="BP41" s="148">
        <f>Z41</f>
        <v>0</v>
      </c>
      <c r="BQ41" s="148">
        <f>AC41</f>
        <v>489</v>
      </c>
      <c r="BR41" s="148">
        <f>AF41</f>
        <v>0</v>
      </c>
      <c r="BS41" s="148">
        <f>AI41</f>
        <v>0</v>
      </c>
      <c r="BT41" s="148">
        <f>AL41</f>
        <v>0</v>
      </c>
      <c r="BU41" s="148">
        <f>AO41</f>
        <v>0</v>
      </c>
      <c r="BV41" s="148">
        <f>AR41</f>
        <v>0</v>
      </c>
      <c r="BW41" s="148">
        <f>AU41</f>
        <v>0</v>
      </c>
      <c r="BX41" s="148">
        <f>AX41</f>
        <v>0</v>
      </c>
      <c r="BY41" s="148">
        <f>BA41</f>
        <v>0</v>
      </c>
      <c r="BZ41" s="149">
        <f>LARGE(BL41:BY41,1)</f>
        <v>508</v>
      </c>
      <c r="CA41" s="149">
        <f>LARGE(BL41:BY41,2)</f>
        <v>489</v>
      </c>
      <c r="CB41" s="149">
        <f>LARGE(BL41:BY41,3)</f>
        <v>475</v>
      </c>
      <c r="CC41" s="149">
        <f>LARGE(BL41:BY41,4)</f>
        <v>0</v>
      </c>
      <c r="CD41" s="149">
        <f>LARGE(BL41:BY41,5)</f>
        <v>0</v>
      </c>
      <c r="CH41" s="122"/>
      <c r="CI41" s="122"/>
      <c r="CJ41" s="125"/>
      <c r="CK41" s="122"/>
      <c r="CL41" s="120"/>
      <c r="CM41" s="125"/>
      <c r="CN41" s="122"/>
      <c r="CO41" s="122"/>
      <c r="CP41" s="125"/>
      <c r="CQ41" s="122"/>
      <c r="CR41" s="120"/>
      <c r="CS41" s="125"/>
      <c r="CT41" s="122"/>
      <c r="CU41" s="120"/>
      <c r="CV41" s="125"/>
      <c r="CW41" s="122"/>
      <c r="CX41" s="122"/>
      <c r="CY41" s="125"/>
      <c r="CZ41" s="122"/>
      <c r="DA41" s="122"/>
      <c r="DB41" s="125"/>
    </row>
    <row r="42" spans="1:106" ht="15">
      <c r="A42" s="241" t="s">
        <v>34</v>
      </c>
      <c r="B42" s="241" t="s">
        <v>225</v>
      </c>
      <c r="C42" s="90" t="s">
        <v>35</v>
      </c>
      <c r="D42" s="91"/>
      <c r="E42" s="90" t="s">
        <v>11</v>
      </c>
      <c r="F42" s="90"/>
      <c r="G42" s="90"/>
      <c r="H42" s="91"/>
      <c r="I42" s="140"/>
      <c r="J42" s="141"/>
      <c r="K42" s="142"/>
      <c r="L42" s="143"/>
      <c r="M42" s="122"/>
      <c r="N42" s="151"/>
      <c r="O42" s="152"/>
      <c r="P42" s="152"/>
      <c r="Q42" s="153"/>
      <c r="R42" s="154"/>
      <c r="S42" s="120"/>
      <c r="T42" s="150"/>
      <c r="U42" s="34">
        <v>100</v>
      </c>
      <c r="V42" s="120">
        <v>12.58</v>
      </c>
      <c r="W42" s="150">
        <v>481</v>
      </c>
      <c r="X42" s="34"/>
      <c r="Y42" s="122"/>
      <c r="Z42" s="150"/>
      <c r="AA42" s="34">
        <v>100</v>
      </c>
      <c r="AB42" s="122">
        <v>12.54</v>
      </c>
      <c r="AC42" s="150">
        <v>489</v>
      </c>
      <c r="AD42" s="34"/>
      <c r="AE42" s="122"/>
      <c r="AF42" s="150"/>
      <c r="AG42" s="34" t="s">
        <v>260</v>
      </c>
      <c r="AH42" s="122">
        <v>16.24</v>
      </c>
      <c r="AI42" s="150">
        <v>700</v>
      </c>
      <c r="AJ42" s="158"/>
      <c r="AK42" s="122"/>
      <c r="AL42" s="150"/>
      <c r="AM42" s="34"/>
      <c r="AN42" s="122"/>
      <c r="AO42" s="150"/>
      <c r="AP42" s="34"/>
      <c r="AQ42" s="122"/>
      <c r="AR42" s="150"/>
      <c r="AS42" s="34"/>
      <c r="AT42" s="122"/>
      <c r="AU42" s="150"/>
      <c r="AV42" s="34" t="s">
        <v>296</v>
      </c>
      <c r="AW42" s="122">
        <v>12.52</v>
      </c>
      <c r="AX42" s="150">
        <v>494</v>
      </c>
      <c r="AY42" s="34"/>
      <c r="AZ42" s="122"/>
      <c r="BA42" s="150"/>
      <c r="CH42" s="122"/>
      <c r="CI42" s="122"/>
      <c r="CJ42" s="125"/>
      <c r="CK42" s="122"/>
      <c r="CL42" s="120"/>
      <c r="CM42" s="125"/>
      <c r="CN42" s="122"/>
      <c r="CO42" s="122"/>
      <c r="CP42" s="125"/>
      <c r="CQ42" s="122"/>
      <c r="CR42" s="120"/>
      <c r="CS42" s="125"/>
      <c r="CT42" s="122"/>
      <c r="CU42" s="120"/>
      <c r="CV42" s="125"/>
      <c r="CW42" s="122">
        <v>110</v>
      </c>
      <c r="CX42" s="122">
        <v>16.27</v>
      </c>
      <c r="CY42" s="125">
        <v>695</v>
      </c>
      <c r="CZ42" s="122"/>
      <c r="DA42" s="122"/>
      <c r="DB42" s="125"/>
    </row>
    <row r="43" spans="1:106" ht="15">
      <c r="A43" s="241" t="s">
        <v>263</v>
      </c>
      <c r="B43" s="241" t="s">
        <v>264</v>
      </c>
      <c r="C43" s="90" t="s">
        <v>145</v>
      </c>
      <c r="D43" s="91"/>
      <c r="E43" s="90" t="s">
        <v>17</v>
      </c>
      <c r="F43" s="90"/>
      <c r="G43" s="90"/>
      <c r="H43" s="91"/>
      <c r="I43" s="140"/>
      <c r="J43" s="141"/>
      <c r="K43" s="142"/>
      <c r="L43" s="143"/>
      <c r="M43" s="122"/>
      <c r="N43" s="151"/>
      <c r="O43" s="152"/>
      <c r="P43" s="152"/>
      <c r="Q43" s="153"/>
      <c r="R43" s="154"/>
      <c r="S43" s="120"/>
      <c r="T43" s="150"/>
      <c r="U43" s="34"/>
      <c r="V43" s="120"/>
      <c r="W43" s="150"/>
      <c r="X43" s="34"/>
      <c r="Y43" s="122"/>
      <c r="Z43" s="150"/>
      <c r="AA43" s="34"/>
      <c r="AB43" s="122"/>
      <c r="AC43" s="150"/>
      <c r="AD43" s="34"/>
      <c r="AE43" s="122"/>
      <c r="AF43" s="150"/>
      <c r="AG43" s="34">
        <v>200</v>
      </c>
      <c r="AH43" s="122">
        <v>37.14</v>
      </c>
      <c r="AI43" s="150">
        <v>156</v>
      </c>
      <c r="AJ43" s="34"/>
      <c r="AK43" s="122"/>
      <c r="AL43" s="150"/>
      <c r="AM43" s="34"/>
      <c r="AN43" s="122"/>
      <c r="AO43" s="150"/>
      <c r="AP43" s="34"/>
      <c r="AQ43" s="122"/>
      <c r="AR43" s="150"/>
      <c r="AS43" s="34"/>
      <c r="AT43" s="122"/>
      <c r="AU43" s="150"/>
      <c r="AV43" s="34" t="s">
        <v>388</v>
      </c>
      <c r="AW43" s="122">
        <v>35.97</v>
      </c>
      <c r="AX43" s="150">
        <v>203</v>
      </c>
      <c r="AY43" s="34"/>
      <c r="AZ43" s="122"/>
      <c r="BA43" s="150"/>
      <c r="CH43" s="122"/>
      <c r="CI43" s="122"/>
      <c r="CJ43" s="125"/>
      <c r="CK43" s="122"/>
      <c r="CL43" s="120"/>
      <c r="CM43" s="125"/>
      <c r="CN43" s="122"/>
      <c r="CO43" s="122"/>
      <c r="CP43" s="125"/>
      <c r="CQ43" s="122"/>
      <c r="CR43" s="120"/>
      <c r="CS43" s="125"/>
      <c r="CT43" s="122"/>
      <c r="CU43" s="120"/>
      <c r="CV43" s="125"/>
      <c r="CW43" s="122"/>
      <c r="CX43" s="122"/>
      <c r="CY43" s="125"/>
      <c r="CZ43" s="122"/>
      <c r="DA43" s="122"/>
      <c r="DB43" s="125"/>
    </row>
    <row r="44" spans="1:106" ht="15">
      <c r="A44" s="240" t="s">
        <v>10</v>
      </c>
      <c r="B44" s="240" t="s">
        <v>78</v>
      </c>
      <c r="C44" s="93" t="s">
        <v>35</v>
      </c>
      <c r="D44" s="92"/>
      <c r="E44" s="92" t="s">
        <v>11</v>
      </c>
      <c r="F44" s="92"/>
      <c r="G44" s="90"/>
      <c r="H44" s="92"/>
      <c r="I44" s="140">
        <v>200</v>
      </c>
      <c r="J44" s="141">
        <v>25.64</v>
      </c>
      <c r="K44" s="142">
        <v>493</v>
      </c>
      <c r="L44" s="143"/>
      <c r="M44" s="122"/>
      <c r="N44" s="151"/>
      <c r="O44" s="152"/>
      <c r="P44" s="152"/>
      <c r="Q44" s="153"/>
      <c r="R44" s="154"/>
      <c r="S44" s="120"/>
      <c r="T44" s="150"/>
      <c r="U44" s="34">
        <v>100</v>
      </c>
      <c r="V44" s="120">
        <v>12.18</v>
      </c>
      <c r="W44" s="150">
        <v>572</v>
      </c>
      <c r="X44" s="34"/>
      <c r="Y44" s="122"/>
      <c r="Z44" s="150"/>
      <c r="AA44" s="34"/>
      <c r="AB44" s="122"/>
      <c r="AC44" s="150"/>
      <c r="AD44" s="34"/>
      <c r="AE44" s="122"/>
      <c r="AF44" s="150"/>
      <c r="AG44" s="34" t="s">
        <v>260</v>
      </c>
      <c r="AH44" s="122">
        <v>15.34</v>
      </c>
      <c r="AI44" s="150">
        <v>838</v>
      </c>
      <c r="AJ44" s="34"/>
      <c r="AK44" s="122"/>
      <c r="AL44" s="150"/>
      <c r="AM44" s="34"/>
      <c r="AN44" s="122"/>
      <c r="AO44" s="150"/>
      <c r="AP44" s="34"/>
      <c r="AQ44" s="122"/>
      <c r="AR44" s="150"/>
      <c r="AS44" s="34"/>
      <c r="AT44" s="122"/>
      <c r="AU44" s="150"/>
      <c r="AV44" s="34"/>
      <c r="AW44" s="122"/>
      <c r="AX44" s="150"/>
      <c r="AY44" s="34"/>
      <c r="AZ44" s="122"/>
      <c r="BA44" s="150"/>
      <c r="BK44" s="107">
        <f>COUNTA(BA44,AX44,AU44,AR44,AL44,AI44,AF44,AO44,AC44,Z44,W44,T44,N44,K44)</f>
        <v>3</v>
      </c>
      <c r="BL44" s="148">
        <f>K44</f>
        <v>493</v>
      </c>
      <c r="BM44" s="148">
        <f>N44</f>
        <v>0</v>
      </c>
      <c r="BN44" s="148">
        <f>T44</f>
        <v>0</v>
      </c>
      <c r="BO44" s="148">
        <f>W44</f>
        <v>572</v>
      </c>
      <c r="BP44" s="148">
        <f>Z44</f>
        <v>0</v>
      </c>
      <c r="BQ44" s="148">
        <f>AC44</f>
        <v>0</v>
      </c>
      <c r="BR44" s="148">
        <f>AF44</f>
        <v>0</v>
      </c>
      <c r="BS44" s="148">
        <f>AI44</f>
        <v>838</v>
      </c>
      <c r="BT44" s="148">
        <f>AL44</f>
        <v>0</v>
      </c>
      <c r="BU44" s="148">
        <f>AO44</f>
        <v>0</v>
      </c>
      <c r="BV44" s="148">
        <f>AR44</f>
        <v>0</v>
      </c>
      <c r="BW44" s="148">
        <f>AU44</f>
        <v>0</v>
      </c>
      <c r="BX44" s="148">
        <f>AX44</f>
        <v>0</v>
      </c>
      <c r="BY44" s="148">
        <f>BA44</f>
        <v>0</v>
      </c>
      <c r="BZ44" s="149">
        <f>LARGE(BL44:BY44,1)</f>
        <v>838</v>
      </c>
      <c r="CA44" s="149">
        <f>LARGE(BL44:BY44,2)</f>
        <v>572</v>
      </c>
      <c r="CB44" s="149">
        <f>LARGE(BL44:BY44,3)</f>
        <v>493</v>
      </c>
      <c r="CC44" s="149">
        <f>LARGE(BL44:BY44,4)</f>
        <v>0</v>
      </c>
      <c r="CD44" s="149">
        <f>LARGE(BL44:BY44,5)</f>
        <v>0</v>
      </c>
      <c r="CH44" s="122"/>
      <c r="CI44" s="122"/>
      <c r="CJ44" s="125"/>
      <c r="CK44" s="122"/>
      <c r="CL44" s="120"/>
      <c r="CM44" s="125"/>
      <c r="CN44" s="122"/>
      <c r="CO44" s="122"/>
      <c r="CP44" s="125"/>
      <c r="CQ44" s="122"/>
      <c r="CR44" s="120"/>
      <c r="CS44" s="125"/>
      <c r="CT44" s="122"/>
      <c r="CU44" s="120"/>
      <c r="CV44" s="125"/>
      <c r="CW44" s="122"/>
      <c r="CX44" s="122"/>
      <c r="CY44" s="125"/>
      <c r="CZ44" s="122"/>
      <c r="DA44" s="122"/>
      <c r="DB44" s="125"/>
    </row>
    <row r="45" spans="1:106" ht="15">
      <c r="A45" s="240" t="s">
        <v>239</v>
      </c>
      <c r="B45" s="240" t="s">
        <v>240</v>
      </c>
      <c r="C45" s="93" t="s">
        <v>47</v>
      </c>
      <c r="D45" s="92"/>
      <c r="E45" s="92" t="s">
        <v>11</v>
      </c>
      <c r="F45" s="92"/>
      <c r="G45" s="90"/>
      <c r="H45" s="92"/>
      <c r="I45" s="140"/>
      <c r="J45" s="141"/>
      <c r="K45" s="142"/>
      <c r="L45" s="143"/>
      <c r="M45" s="122"/>
      <c r="N45" s="151"/>
      <c r="O45" s="152"/>
      <c r="P45" s="152"/>
      <c r="Q45" s="153"/>
      <c r="R45" s="154"/>
      <c r="S45" s="120"/>
      <c r="T45" s="150"/>
      <c r="U45" s="34"/>
      <c r="V45" s="120"/>
      <c r="W45" s="150"/>
      <c r="X45" s="34"/>
      <c r="Y45" s="122"/>
      <c r="Z45" s="150"/>
      <c r="AA45" s="34">
        <v>100</v>
      </c>
      <c r="AB45" s="122">
        <v>14.88</v>
      </c>
      <c r="AC45" s="150">
        <v>502</v>
      </c>
      <c r="AD45" s="34">
        <v>200</v>
      </c>
      <c r="AE45" s="120">
        <v>30.4</v>
      </c>
      <c r="AF45" s="150">
        <v>511</v>
      </c>
      <c r="AG45" s="34">
        <v>100</v>
      </c>
      <c r="AH45" s="122">
        <v>14.14</v>
      </c>
      <c r="AI45" s="150">
        <v>612</v>
      </c>
      <c r="AJ45" s="34">
        <v>400</v>
      </c>
      <c r="AK45" s="122">
        <v>68.1</v>
      </c>
      <c r="AL45" s="150">
        <v>584</v>
      </c>
      <c r="AM45" s="34"/>
      <c r="AN45" s="122"/>
      <c r="AO45" s="150"/>
      <c r="AP45" s="34"/>
      <c r="AQ45" s="122"/>
      <c r="AR45" s="150"/>
      <c r="AS45" s="34"/>
      <c r="AT45" s="122"/>
      <c r="AU45" s="150"/>
      <c r="AV45" s="34"/>
      <c r="AW45" s="122"/>
      <c r="AX45" s="150"/>
      <c r="AY45" s="34"/>
      <c r="AZ45" s="122"/>
      <c r="BA45" s="150"/>
      <c r="CH45" s="122"/>
      <c r="CI45" s="122"/>
      <c r="CJ45" s="125"/>
      <c r="CK45" s="122"/>
      <c r="CL45" s="120"/>
      <c r="CM45" s="125"/>
      <c r="CN45" s="122"/>
      <c r="CO45" s="122"/>
      <c r="CP45" s="125"/>
      <c r="CQ45" s="122"/>
      <c r="CR45" s="120"/>
      <c r="CS45" s="125"/>
      <c r="CT45" s="122"/>
      <c r="CU45" s="120"/>
      <c r="CV45" s="125"/>
      <c r="CW45" s="122"/>
      <c r="CX45" s="122"/>
      <c r="CY45" s="125"/>
      <c r="CZ45" s="122"/>
      <c r="DA45" s="122"/>
      <c r="DB45" s="125"/>
    </row>
    <row r="46" spans="1:106" ht="15">
      <c r="A46" s="239" t="s">
        <v>83</v>
      </c>
      <c r="B46" s="239" t="s">
        <v>84</v>
      </c>
      <c r="C46" s="200" t="s">
        <v>35</v>
      </c>
      <c r="D46" s="201"/>
      <c r="E46" s="92" t="s">
        <v>69</v>
      </c>
      <c r="F46" s="92"/>
      <c r="G46" s="90"/>
      <c r="H46" s="92"/>
      <c r="I46" s="140">
        <v>200</v>
      </c>
      <c r="J46" s="155">
        <v>29.14</v>
      </c>
      <c r="K46" s="142">
        <v>205</v>
      </c>
      <c r="L46" s="143"/>
      <c r="M46" s="122"/>
      <c r="N46" s="151"/>
      <c r="O46" s="152"/>
      <c r="P46" s="152"/>
      <c r="Q46" s="153"/>
      <c r="R46" s="154"/>
      <c r="S46" s="120"/>
      <c r="T46" s="150"/>
      <c r="U46" s="34"/>
      <c r="V46" s="120"/>
      <c r="W46" s="150"/>
      <c r="X46" s="34"/>
      <c r="Y46" s="122"/>
      <c r="Z46" s="150"/>
      <c r="AA46" s="34"/>
      <c r="AB46" s="122"/>
      <c r="AC46" s="150"/>
      <c r="AD46" s="34"/>
      <c r="AE46" s="122"/>
      <c r="AF46" s="150"/>
      <c r="AG46" s="34">
        <v>400</v>
      </c>
      <c r="AH46" s="122">
        <v>68.24</v>
      </c>
      <c r="AI46" s="150"/>
      <c r="AJ46" s="34"/>
      <c r="AK46" s="122"/>
      <c r="AL46" s="150"/>
      <c r="AM46" s="34"/>
      <c r="AN46" s="122"/>
      <c r="AO46" s="150"/>
      <c r="AP46" s="34"/>
      <c r="AQ46" s="122"/>
      <c r="AR46" s="150"/>
      <c r="AS46" s="34"/>
      <c r="AT46" s="122"/>
      <c r="AU46" s="150"/>
      <c r="AV46" s="34"/>
      <c r="AW46" s="122"/>
      <c r="AX46" s="150"/>
      <c r="AY46" s="34"/>
      <c r="AZ46" s="122"/>
      <c r="BA46" s="150"/>
      <c r="BK46" s="107">
        <f>COUNTA(BA46,AX46,AU46,AR46,AL46,AI46,AF46,AO46,AC46,Z46,W46,T46,N46,K46)</f>
        <v>1</v>
      </c>
      <c r="BL46" s="148">
        <f>K46</f>
        <v>205</v>
      </c>
      <c r="BM46" s="148">
        <f>N46</f>
        <v>0</v>
      </c>
      <c r="BN46" s="148">
        <f>T46</f>
        <v>0</v>
      </c>
      <c r="BO46" s="148">
        <f>W46</f>
        <v>0</v>
      </c>
      <c r="BP46" s="148">
        <f>Z46</f>
        <v>0</v>
      </c>
      <c r="BQ46" s="148">
        <f>AC46</f>
        <v>0</v>
      </c>
      <c r="BR46" s="148">
        <f>AF46</f>
        <v>0</v>
      </c>
      <c r="BS46" s="148">
        <f>AI46</f>
        <v>0</v>
      </c>
      <c r="BT46" s="148">
        <f>AL46</f>
        <v>0</v>
      </c>
      <c r="BU46" s="148">
        <f>AO46</f>
        <v>0</v>
      </c>
      <c r="BV46" s="148">
        <f>AR46</f>
        <v>0</v>
      </c>
      <c r="BW46" s="148">
        <f>AU46</f>
        <v>0</v>
      </c>
      <c r="BX46" s="148">
        <f>AX46</f>
        <v>0</v>
      </c>
      <c r="BY46" s="148">
        <f>BA46</f>
        <v>0</v>
      </c>
      <c r="BZ46" s="149">
        <f>LARGE(BL46:BY46,1)</f>
        <v>205</v>
      </c>
      <c r="CA46" s="149">
        <f>LARGE(BL46:BY46,2)</f>
        <v>0</v>
      </c>
      <c r="CB46" s="149">
        <f>LARGE(BL46:BY46,3)</f>
        <v>0</v>
      </c>
      <c r="CC46" s="149">
        <f>LARGE(BL46:BY46,4)</f>
        <v>0</v>
      </c>
      <c r="CD46" s="149">
        <f>LARGE(BL46:BY46,5)</f>
        <v>0</v>
      </c>
      <c r="CH46" s="122"/>
      <c r="CI46" s="122"/>
      <c r="CJ46" s="125"/>
      <c r="CK46" s="122"/>
      <c r="CL46" s="120"/>
      <c r="CM46" s="125"/>
      <c r="CN46" s="122"/>
      <c r="CO46" s="122"/>
      <c r="CP46" s="125"/>
      <c r="CQ46" s="122"/>
      <c r="CR46" s="120"/>
      <c r="CS46" s="125"/>
      <c r="CT46" s="122"/>
      <c r="CU46" s="120"/>
      <c r="CV46" s="125"/>
      <c r="CW46" s="122"/>
      <c r="CX46" s="122"/>
      <c r="CY46" s="125"/>
      <c r="CZ46" s="122"/>
      <c r="DA46" s="122"/>
      <c r="DB46" s="125"/>
    </row>
    <row r="47" spans="1:106" ht="15">
      <c r="A47" s="238" t="s">
        <v>150</v>
      </c>
      <c r="B47" s="238" t="s">
        <v>151</v>
      </c>
      <c r="C47" s="202" t="s">
        <v>137</v>
      </c>
      <c r="D47" s="203"/>
      <c r="E47" s="90" t="s">
        <v>89</v>
      </c>
      <c r="F47" s="90"/>
      <c r="G47" s="90"/>
      <c r="H47" s="90"/>
      <c r="I47" s="140"/>
      <c r="J47" s="141"/>
      <c r="K47" s="142"/>
      <c r="L47" s="143"/>
      <c r="M47" s="122"/>
      <c r="N47" s="151"/>
      <c r="O47" s="152"/>
      <c r="P47" s="152"/>
      <c r="Q47" s="153"/>
      <c r="R47" s="154">
        <v>200</v>
      </c>
      <c r="S47" s="120">
        <v>35.04</v>
      </c>
      <c r="T47" s="150">
        <v>1</v>
      </c>
      <c r="U47" s="34"/>
      <c r="V47" s="120"/>
      <c r="W47" s="150"/>
      <c r="X47" s="34"/>
      <c r="Y47" s="122"/>
      <c r="Z47" s="150"/>
      <c r="AA47" s="34"/>
      <c r="AB47" s="122"/>
      <c r="AC47" s="150"/>
      <c r="AD47" s="34"/>
      <c r="AE47" s="122"/>
      <c r="AF47" s="150"/>
      <c r="AG47" s="34"/>
      <c r="AH47" s="122"/>
      <c r="AI47" s="150"/>
      <c r="AJ47" s="34"/>
      <c r="AK47" s="122"/>
      <c r="AL47" s="150"/>
      <c r="AM47" s="34"/>
      <c r="AN47" s="122"/>
      <c r="AO47" s="150"/>
      <c r="AP47" s="34"/>
      <c r="AQ47" s="122"/>
      <c r="AR47" s="150"/>
      <c r="AS47" s="34"/>
      <c r="AT47" s="122"/>
      <c r="AU47" s="150"/>
      <c r="AV47" s="34"/>
      <c r="AW47" s="122"/>
      <c r="AX47" s="150"/>
      <c r="AY47" s="34"/>
      <c r="AZ47" s="122"/>
      <c r="BA47" s="150"/>
      <c r="BK47" s="107">
        <f>COUNTA(BA47,AX47,AU47,AR47,AL47,AI47,AF47,AO47,AC47,Z47,W47,T47,N47,K47)</f>
        <v>1</v>
      </c>
      <c r="BL47" s="148">
        <f>K47</f>
        <v>0</v>
      </c>
      <c r="BM47" s="148">
        <f>N47</f>
        <v>0</v>
      </c>
      <c r="BN47" s="148">
        <f>T47</f>
        <v>1</v>
      </c>
      <c r="BO47" s="148">
        <f>W47</f>
        <v>0</v>
      </c>
      <c r="BP47" s="148">
        <f>Z47</f>
        <v>0</v>
      </c>
      <c r="BQ47" s="148">
        <f>AC47</f>
        <v>0</v>
      </c>
      <c r="BR47" s="148">
        <f>AF47</f>
        <v>0</v>
      </c>
      <c r="BS47" s="148">
        <f>AI47</f>
        <v>0</v>
      </c>
      <c r="BT47" s="148">
        <f>AL47</f>
        <v>0</v>
      </c>
      <c r="BU47" s="148">
        <f>AO47</f>
        <v>0</v>
      </c>
      <c r="BV47" s="148">
        <f>AR47</f>
        <v>0</v>
      </c>
      <c r="BW47" s="148">
        <f>AU47</f>
        <v>0</v>
      </c>
      <c r="BX47" s="148">
        <f>AX47</f>
        <v>0</v>
      </c>
      <c r="BY47" s="148">
        <f>BA47</f>
        <v>0</v>
      </c>
      <c r="BZ47" s="149">
        <f>LARGE(BL47:BY47,1)</f>
        <v>1</v>
      </c>
      <c r="CA47" s="149">
        <f>LARGE(BL47:BY47,2)</f>
        <v>0</v>
      </c>
      <c r="CB47" s="149">
        <f>LARGE(BL47:BY47,3)</f>
        <v>0</v>
      </c>
      <c r="CC47" s="149">
        <f>LARGE(BL47:BY47,4)</f>
        <v>0</v>
      </c>
      <c r="CD47" s="149">
        <f>LARGE(BL47:BY47,5)</f>
        <v>0</v>
      </c>
      <c r="CH47" s="122"/>
      <c r="CI47" s="122"/>
      <c r="CJ47" s="125"/>
      <c r="CK47" s="122"/>
      <c r="CL47" s="120"/>
      <c r="CM47" s="125"/>
      <c r="CN47" s="122"/>
      <c r="CO47" s="122"/>
      <c r="CP47" s="125"/>
      <c r="CQ47" s="122"/>
      <c r="CR47" s="120"/>
      <c r="CS47" s="125"/>
      <c r="CT47" s="122"/>
      <c r="CU47" s="120"/>
      <c r="CV47" s="125"/>
      <c r="CW47" s="122"/>
      <c r="CX47" s="122"/>
      <c r="CY47" s="125"/>
      <c r="CZ47" s="122"/>
      <c r="DA47" s="122"/>
      <c r="DB47" s="125"/>
    </row>
    <row r="48" spans="1:106" ht="15">
      <c r="A48" s="241" t="s">
        <v>152</v>
      </c>
      <c r="B48" s="241" t="s">
        <v>153</v>
      </c>
      <c r="C48" s="90" t="s">
        <v>154</v>
      </c>
      <c r="D48" s="90"/>
      <c r="E48" s="90" t="s">
        <v>17</v>
      </c>
      <c r="F48" s="90"/>
      <c r="G48" s="90"/>
      <c r="H48" s="90"/>
      <c r="I48" s="140"/>
      <c r="J48" s="141"/>
      <c r="K48" s="142"/>
      <c r="L48" s="143"/>
      <c r="M48" s="122"/>
      <c r="N48" s="151"/>
      <c r="O48" s="152"/>
      <c r="P48" s="152"/>
      <c r="Q48" s="153"/>
      <c r="R48" s="154">
        <v>400</v>
      </c>
      <c r="S48" s="120">
        <v>77.54</v>
      </c>
      <c r="T48" s="150">
        <v>355</v>
      </c>
      <c r="U48" s="34"/>
      <c r="V48" s="120"/>
      <c r="W48" s="150"/>
      <c r="X48" s="34"/>
      <c r="Y48" s="122"/>
      <c r="Z48" s="150"/>
      <c r="AA48" s="34"/>
      <c r="AB48" s="122"/>
      <c r="AC48" s="150"/>
      <c r="AD48" s="34"/>
      <c r="AE48" s="122"/>
      <c r="AF48" s="150"/>
      <c r="AG48" s="34"/>
      <c r="AH48" s="122"/>
      <c r="AI48" s="150"/>
      <c r="AJ48" s="34"/>
      <c r="AK48" s="122"/>
      <c r="AL48" s="150"/>
      <c r="AM48" s="34"/>
      <c r="AN48" s="122"/>
      <c r="AO48" s="150"/>
      <c r="AP48" s="34"/>
      <c r="AQ48" s="122"/>
      <c r="AR48" s="150"/>
      <c r="AS48" s="34"/>
      <c r="AT48" s="122"/>
      <c r="AU48" s="150"/>
      <c r="AV48" s="34"/>
      <c r="AW48" s="122"/>
      <c r="AX48" s="150"/>
      <c r="AY48" s="34"/>
      <c r="AZ48" s="122"/>
      <c r="BA48" s="150"/>
      <c r="BK48" s="107">
        <f>COUNTA(BA48,AX48,AU48,AR48,AL48,AI48,AF48,AO48,AC48,Z48,W48,T48,N48,K48)</f>
        <v>1</v>
      </c>
      <c r="BL48" s="148">
        <f>K48</f>
        <v>0</v>
      </c>
      <c r="BM48" s="148">
        <f>N48</f>
        <v>0</v>
      </c>
      <c r="BN48" s="148">
        <f>T48</f>
        <v>355</v>
      </c>
      <c r="BO48" s="148">
        <f>W48</f>
        <v>0</v>
      </c>
      <c r="BP48" s="148">
        <f>Z48</f>
        <v>0</v>
      </c>
      <c r="BQ48" s="148">
        <f>AC48</f>
        <v>0</v>
      </c>
      <c r="BR48" s="148">
        <f>AF48</f>
        <v>0</v>
      </c>
      <c r="BS48" s="148">
        <f>AI48</f>
        <v>0</v>
      </c>
      <c r="BT48" s="148">
        <f>AL48</f>
        <v>0</v>
      </c>
      <c r="BU48" s="148">
        <f>AO48</f>
        <v>0</v>
      </c>
      <c r="BV48" s="148">
        <f>AR48</f>
        <v>0</v>
      </c>
      <c r="BW48" s="148">
        <f>AU48</f>
        <v>0</v>
      </c>
      <c r="BX48" s="148">
        <f>AX48</f>
        <v>0</v>
      </c>
      <c r="BY48" s="148">
        <f>BA48</f>
        <v>0</v>
      </c>
      <c r="BZ48" s="149">
        <f>LARGE(BL48:BY48,1)</f>
        <v>355</v>
      </c>
      <c r="CA48" s="149">
        <f>LARGE(BL48:BY48,2)</f>
        <v>0</v>
      </c>
      <c r="CB48" s="149">
        <f>LARGE(BL48:BY48,3)</f>
        <v>0</v>
      </c>
      <c r="CC48" s="149">
        <f>LARGE(BL48:BY48,4)</f>
        <v>0</v>
      </c>
      <c r="CD48" s="149">
        <f>LARGE(BL48:BY48,5)</f>
        <v>0</v>
      </c>
      <c r="CH48" s="122"/>
      <c r="CI48" s="122"/>
      <c r="CJ48" s="125"/>
      <c r="CK48" s="122"/>
      <c r="CL48" s="120"/>
      <c r="CM48" s="125"/>
      <c r="CN48" s="122"/>
      <c r="CO48" s="122"/>
      <c r="CP48" s="125"/>
      <c r="CQ48" s="122"/>
      <c r="CR48" s="120"/>
      <c r="CS48" s="125"/>
      <c r="CT48" s="122"/>
      <c r="CU48" s="120"/>
      <c r="CV48" s="125"/>
      <c r="CW48" s="122"/>
      <c r="CX48" s="122"/>
      <c r="CY48" s="125"/>
      <c r="CZ48" s="122"/>
      <c r="DA48" s="122"/>
      <c r="DB48" s="125"/>
    </row>
    <row r="49" spans="1:106" ht="15">
      <c r="A49" s="241" t="s">
        <v>155</v>
      </c>
      <c r="B49" s="241" t="s">
        <v>156</v>
      </c>
      <c r="C49" s="90" t="s">
        <v>145</v>
      </c>
      <c r="D49" s="90"/>
      <c r="E49" s="90" t="s">
        <v>11</v>
      </c>
      <c r="F49" s="90"/>
      <c r="G49" s="90"/>
      <c r="H49" s="90"/>
      <c r="I49" s="140"/>
      <c r="J49" s="141"/>
      <c r="K49" s="142"/>
      <c r="L49" s="143"/>
      <c r="M49" s="122"/>
      <c r="N49" s="151"/>
      <c r="O49" s="152"/>
      <c r="P49" s="152"/>
      <c r="Q49" s="153"/>
      <c r="R49" s="154">
        <v>400</v>
      </c>
      <c r="S49" s="120">
        <v>88.24</v>
      </c>
      <c r="T49" s="150">
        <v>158</v>
      </c>
      <c r="U49" s="34"/>
      <c r="V49" s="120"/>
      <c r="W49" s="150"/>
      <c r="X49" s="34"/>
      <c r="Y49" s="122"/>
      <c r="Z49" s="150"/>
      <c r="AA49" s="34"/>
      <c r="AB49" s="122"/>
      <c r="AC49" s="150"/>
      <c r="AD49" s="34"/>
      <c r="AE49" s="122"/>
      <c r="AF49" s="150"/>
      <c r="AG49" s="34"/>
      <c r="AH49" s="122"/>
      <c r="AI49" s="150"/>
      <c r="AJ49" s="34"/>
      <c r="AK49" s="122"/>
      <c r="AL49" s="150"/>
      <c r="AM49" s="34"/>
      <c r="AN49" s="122"/>
      <c r="AO49" s="150"/>
      <c r="AP49" s="34"/>
      <c r="AQ49" s="122"/>
      <c r="AR49" s="150"/>
      <c r="AS49" s="34"/>
      <c r="AT49" s="122"/>
      <c r="AU49" s="150"/>
      <c r="AV49" s="34"/>
      <c r="AW49" s="122"/>
      <c r="AX49" s="150"/>
      <c r="AY49" s="34"/>
      <c r="AZ49" s="122"/>
      <c r="BA49" s="150"/>
      <c r="BK49" s="107">
        <f>COUNTA(BA49,AX49,AU49,AR49,AL49,AI49,AF49,AO49,AC49,Z49,W49,T49,N49,K49)</f>
        <v>1</v>
      </c>
      <c r="BL49" s="148">
        <f>K49</f>
        <v>0</v>
      </c>
      <c r="BM49" s="148">
        <f>N49</f>
        <v>0</v>
      </c>
      <c r="BN49" s="148">
        <f>T49</f>
        <v>158</v>
      </c>
      <c r="BO49" s="148">
        <f>W49</f>
        <v>0</v>
      </c>
      <c r="BP49" s="148">
        <f>Z49</f>
        <v>0</v>
      </c>
      <c r="BQ49" s="148">
        <f>AC49</f>
        <v>0</v>
      </c>
      <c r="BR49" s="148">
        <f>AF49</f>
        <v>0</v>
      </c>
      <c r="BS49" s="148">
        <f>AI49</f>
        <v>0</v>
      </c>
      <c r="BT49" s="148">
        <f>AL49</f>
        <v>0</v>
      </c>
      <c r="BU49" s="148">
        <f>AO49</f>
        <v>0</v>
      </c>
      <c r="BV49" s="148">
        <f>AR49</f>
        <v>0</v>
      </c>
      <c r="BW49" s="148">
        <f>AU49</f>
        <v>0</v>
      </c>
      <c r="BX49" s="148">
        <f>AX49</f>
        <v>0</v>
      </c>
      <c r="BY49" s="148">
        <f>BA49</f>
        <v>0</v>
      </c>
      <c r="BZ49" s="149">
        <f>LARGE(BL49:BY49,1)</f>
        <v>158</v>
      </c>
      <c r="CA49" s="149">
        <f>LARGE(BL49:BY49,2)</f>
        <v>0</v>
      </c>
      <c r="CB49" s="149">
        <f>LARGE(BL49:BY49,3)</f>
        <v>0</v>
      </c>
      <c r="CC49" s="149">
        <f>LARGE(BL49:BY49,4)</f>
        <v>0</v>
      </c>
      <c r="CD49" s="149">
        <f>LARGE(BL49:BY49,5)</f>
        <v>0</v>
      </c>
      <c r="CH49" s="122"/>
      <c r="CI49" s="122"/>
      <c r="CJ49" s="125"/>
      <c r="CK49" s="122">
        <v>400</v>
      </c>
      <c r="CL49" s="120">
        <v>85.81</v>
      </c>
      <c r="CM49" s="125">
        <v>196</v>
      </c>
      <c r="CN49" s="122"/>
      <c r="CO49" s="122"/>
      <c r="CP49" s="125"/>
      <c r="CQ49" s="122"/>
      <c r="CR49" s="120"/>
      <c r="CS49" s="125"/>
      <c r="CT49" s="122"/>
      <c r="CU49" s="120"/>
      <c r="CV49" s="125"/>
      <c r="CW49" s="122"/>
      <c r="CX49" s="122"/>
      <c r="CY49" s="125"/>
      <c r="CZ49" s="122"/>
      <c r="DA49" s="122"/>
      <c r="DB49" s="125"/>
    </row>
    <row r="50" spans="1:106" ht="15">
      <c r="A50" s="250" t="s">
        <v>332</v>
      </c>
      <c r="B50" s="250" t="s">
        <v>333</v>
      </c>
      <c r="C50" s="216" t="s">
        <v>42</v>
      </c>
      <c r="D50" s="215"/>
      <c r="E50" s="216" t="s">
        <v>36</v>
      </c>
      <c r="F50" s="215"/>
      <c r="G50" s="216"/>
      <c r="H50" s="216"/>
      <c r="I50" s="159"/>
      <c r="J50" s="159"/>
      <c r="K50" s="160"/>
      <c r="L50" s="159"/>
      <c r="M50" s="159"/>
      <c r="N50" s="160"/>
      <c r="O50" s="161"/>
      <c r="P50" s="161"/>
      <c r="Q50" s="160"/>
      <c r="R50" s="159"/>
      <c r="S50" s="159"/>
      <c r="T50" s="162"/>
      <c r="U50" s="123"/>
      <c r="V50" s="121"/>
      <c r="W50" s="163"/>
      <c r="X50" s="109"/>
      <c r="Y50" s="123"/>
      <c r="Z50" s="163"/>
      <c r="AA50" s="109">
        <v>200</v>
      </c>
      <c r="AB50" s="123">
        <v>27.4</v>
      </c>
      <c r="AC50" s="163">
        <v>333</v>
      </c>
      <c r="AD50" s="109"/>
      <c r="AE50" s="123"/>
      <c r="AF50" s="163"/>
      <c r="AG50" s="109"/>
      <c r="AH50" s="123"/>
      <c r="AI50" s="163"/>
      <c r="AJ50" s="109"/>
      <c r="AK50" s="123"/>
      <c r="AL50" s="163"/>
      <c r="AM50" s="109"/>
      <c r="AN50" s="123"/>
      <c r="AO50" s="163"/>
      <c r="AP50" s="109"/>
      <c r="AQ50" s="123"/>
      <c r="AR50" s="163"/>
      <c r="AS50" s="109"/>
      <c r="AT50" s="123"/>
      <c r="AU50" s="163"/>
      <c r="AV50" s="109"/>
      <c r="AW50" s="123"/>
      <c r="AX50" s="163"/>
      <c r="AY50" s="109"/>
      <c r="AZ50" s="123"/>
      <c r="BA50" s="163"/>
      <c r="BK50" s="107">
        <f>COUNTA(BA50,AX50,AU50,AR50,AL50,AI50,AF50,AO50,AC50,Z50,W50,T50,N29,K29)</f>
        <v>1</v>
      </c>
      <c r="BL50" s="148">
        <f>K29</f>
        <v>0</v>
      </c>
      <c r="BM50" s="148">
        <f>N29</f>
        <v>0</v>
      </c>
      <c r="BN50" s="148">
        <f>T50</f>
        <v>0</v>
      </c>
      <c r="BO50" s="148">
        <f>W50</f>
        <v>0</v>
      </c>
      <c r="BP50" s="148">
        <f>Z50</f>
        <v>0</v>
      </c>
      <c r="BQ50" s="148">
        <f>AC50</f>
        <v>333</v>
      </c>
      <c r="BR50" s="148">
        <f>AF50</f>
        <v>0</v>
      </c>
      <c r="BS50" s="148">
        <f>AI50</f>
        <v>0</v>
      </c>
      <c r="BT50" s="148">
        <f>AL50</f>
        <v>0</v>
      </c>
      <c r="BU50" s="148">
        <f>AO50</f>
        <v>0</v>
      </c>
      <c r="BV50" s="148">
        <f>AR50</f>
        <v>0</v>
      </c>
      <c r="BW50" s="148">
        <f>AU50</f>
        <v>0</v>
      </c>
      <c r="BX50" s="148">
        <f>AX50</f>
        <v>0</v>
      </c>
      <c r="BY50" s="148">
        <f>BA50</f>
        <v>0</v>
      </c>
      <c r="BZ50" s="149">
        <f>LARGE(BL50:BY50,1)</f>
        <v>333</v>
      </c>
      <c r="CA50" s="149">
        <f>LARGE(BL50:BY50,2)</f>
        <v>0</v>
      </c>
      <c r="CB50" s="149">
        <f>LARGE(BL50:BY50,3)</f>
        <v>0</v>
      </c>
      <c r="CC50" s="149">
        <f>LARGE(BL50:BY50,4)</f>
        <v>0</v>
      </c>
      <c r="CD50" s="149">
        <f>LARGE(BL50:BY50,5)</f>
        <v>0</v>
      </c>
      <c r="CH50" s="123"/>
      <c r="CI50" s="123"/>
      <c r="CJ50" s="126"/>
      <c r="CK50" s="123"/>
      <c r="CL50" s="121"/>
      <c r="CM50" s="126"/>
      <c r="CN50" s="123"/>
      <c r="CO50" s="123"/>
      <c r="CP50" s="126"/>
      <c r="CQ50" s="123"/>
      <c r="CR50" s="121"/>
      <c r="CS50" s="126"/>
      <c r="CT50" s="122"/>
      <c r="CU50" s="120"/>
      <c r="CV50" s="125"/>
      <c r="CW50" s="122"/>
      <c r="CX50" s="122"/>
      <c r="CY50" s="125"/>
      <c r="CZ50" s="122"/>
      <c r="DA50" s="122"/>
      <c r="DB50" s="125"/>
    </row>
    <row r="51" spans="1:106" ht="15">
      <c r="A51" s="110" t="s">
        <v>386</v>
      </c>
      <c r="B51" s="110" t="s">
        <v>387</v>
      </c>
      <c r="C51" s="4" t="s">
        <v>35</v>
      </c>
      <c r="D51" s="2"/>
      <c r="E51" s="4" t="s">
        <v>61</v>
      </c>
      <c r="F51" s="2"/>
      <c r="G51" s="4"/>
      <c r="H51" s="4"/>
      <c r="I51" s="141"/>
      <c r="J51" s="141"/>
      <c r="K51" s="164"/>
      <c r="L51" s="141"/>
      <c r="M51" s="141"/>
      <c r="N51" s="164"/>
      <c r="O51" s="165"/>
      <c r="P51" s="165"/>
      <c r="Q51" s="164"/>
      <c r="R51" s="141"/>
      <c r="S51" s="141"/>
      <c r="T51" s="164"/>
      <c r="U51" s="141"/>
      <c r="V51" s="141"/>
      <c r="W51" s="166"/>
      <c r="X51" s="122"/>
      <c r="Y51" s="122"/>
      <c r="Z51" s="166"/>
      <c r="AA51" s="122"/>
      <c r="AB51" s="122"/>
      <c r="AC51" s="166"/>
      <c r="AD51" s="122"/>
      <c r="AE51" s="122"/>
      <c r="AF51" s="166"/>
      <c r="AG51" s="122"/>
      <c r="AH51" s="122"/>
      <c r="AI51" s="166"/>
      <c r="AJ51" s="122"/>
      <c r="AK51" s="122"/>
      <c r="AL51" s="166"/>
      <c r="AM51" s="122"/>
      <c r="AN51" s="122"/>
      <c r="AO51" s="166"/>
      <c r="AP51" s="122"/>
      <c r="AQ51" s="122"/>
      <c r="AR51" s="166"/>
      <c r="AS51" s="122"/>
      <c r="AT51" s="122"/>
      <c r="AU51" s="166"/>
      <c r="AV51" s="122" t="s">
        <v>296</v>
      </c>
      <c r="AW51" s="122">
        <v>13.27</v>
      </c>
      <c r="AX51" s="166">
        <v>342</v>
      </c>
      <c r="AY51" s="122"/>
      <c r="AZ51" s="122"/>
      <c r="BA51" s="166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8"/>
      <c r="CA51" s="168"/>
      <c r="CB51" s="168"/>
      <c r="CC51" s="168"/>
      <c r="CD51" s="168"/>
      <c r="CE51" s="122"/>
      <c r="CF51" s="122"/>
      <c r="CG51" s="122"/>
      <c r="CH51" s="122"/>
      <c r="CI51" s="122"/>
      <c r="CJ51" s="125"/>
      <c r="CK51" s="122"/>
      <c r="CL51" s="120"/>
      <c r="CM51" s="125"/>
      <c r="CN51" s="122"/>
      <c r="CO51" s="122"/>
      <c r="CP51" s="125"/>
      <c r="CQ51" s="122"/>
      <c r="CR51" s="120"/>
      <c r="CS51" s="125"/>
      <c r="CT51" s="122"/>
      <c r="CU51" s="120"/>
      <c r="CV51" s="125"/>
      <c r="CW51" s="122"/>
      <c r="CX51" s="122"/>
      <c r="CY51" s="125"/>
      <c r="CZ51" s="122"/>
      <c r="DA51" s="122"/>
      <c r="DB51" s="125"/>
    </row>
    <row r="52" spans="1:106" ht="15">
      <c r="A52" s="110" t="s">
        <v>402</v>
      </c>
      <c r="B52" s="110" t="s">
        <v>403</v>
      </c>
      <c r="C52" s="4" t="s">
        <v>336</v>
      </c>
      <c r="D52" s="2">
        <v>68</v>
      </c>
      <c r="E52" s="4" t="s">
        <v>69</v>
      </c>
      <c r="F52" s="2"/>
      <c r="G52" s="4"/>
      <c r="H52" s="4"/>
      <c r="I52" s="141"/>
      <c r="J52" s="141"/>
      <c r="K52" s="164"/>
      <c r="L52" s="141"/>
      <c r="M52" s="141"/>
      <c r="N52" s="164"/>
      <c r="O52" s="165"/>
      <c r="P52" s="165"/>
      <c r="Q52" s="164"/>
      <c r="R52" s="141"/>
      <c r="S52" s="141"/>
      <c r="T52" s="164"/>
      <c r="U52" s="141"/>
      <c r="V52" s="141"/>
      <c r="W52" s="166"/>
      <c r="X52" s="122"/>
      <c r="Y52" s="122"/>
      <c r="Z52" s="166"/>
      <c r="AA52" s="122"/>
      <c r="AB52" s="122"/>
      <c r="AC52" s="166"/>
      <c r="AD52" s="122"/>
      <c r="AE52" s="122"/>
      <c r="AF52" s="166"/>
      <c r="AG52" s="122"/>
      <c r="AH52" s="122"/>
      <c r="AI52" s="166"/>
      <c r="AJ52" s="122"/>
      <c r="AK52" s="122"/>
      <c r="AL52" s="166"/>
      <c r="AM52" s="122"/>
      <c r="AN52" s="122"/>
      <c r="AO52" s="166"/>
      <c r="AP52" s="122"/>
      <c r="AQ52" s="122"/>
      <c r="AR52" s="166"/>
      <c r="AS52" s="122"/>
      <c r="AT52" s="122"/>
      <c r="AU52" s="166"/>
      <c r="AV52" s="122"/>
      <c r="AW52" s="122"/>
      <c r="AX52" s="166"/>
      <c r="AY52" s="122"/>
      <c r="AZ52" s="122"/>
      <c r="BA52" s="166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8"/>
      <c r="CA52" s="168"/>
      <c r="CB52" s="168"/>
      <c r="CC52" s="168"/>
      <c r="CD52" s="168"/>
      <c r="CE52" s="122"/>
      <c r="CF52" s="122"/>
      <c r="CG52" s="122"/>
      <c r="CH52" s="122"/>
      <c r="CI52" s="122"/>
      <c r="CJ52" s="125"/>
      <c r="CK52" s="122">
        <v>200</v>
      </c>
      <c r="CL52" s="120">
        <v>28.07</v>
      </c>
      <c r="CM52" s="125">
        <v>280</v>
      </c>
      <c r="CN52" s="122"/>
      <c r="CO52" s="122"/>
      <c r="CP52" s="125"/>
      <c r="CQ52" s="122"/>
      <c r="CR52" s="120"/>
      <c r="CS52" s="125"/>
      <c r="CT52" s="122"/>
      <c r="CU52" s="120"/>
      <c r="CV52" s="125"/>
      <c r="CW52" s="122"/>
      <c r="CX52" s="122"/>
      <c r="CY52" s="125"/>
      <c r="CZ52" s="122"/>
      <c r="DA52" s="122"/>
      <c r="DB52" s="125"/>
    </row>
    <row r="53" spans="1:106" ht="15">
      <c r="A53" s="110"/>
      <c r="B53" s="110"/>
      <c r="C53" s="4"/>
      <c r="D53" s="2"/>
      <c r="E53" s="4"/>
      <c r="F53" s="2"/>
      <c r="G53" s="4"/>
      <c r="H53" s="4"/>
      <c r="I53" s="141"/>
      <c r="J53" s="141"/>
      <c r="K53" s="164"/>
      <c r="L53" s="141"/>
      <c r="M53" s="141"/>
      <c r="N53" s="164"/>
      <c r="O53" s="165"/>
      <c r="P53" s="165"/>
      <c r="Q53" s="164"/>
      <c r="R53" s="141"/>
      <c r="S53" s="141"/>
      <c r="T53" s="164"/>
      <c r="U53" s="141"/>
      <c r="V53" s="141"/>
      <c r="W53" s="166"/>
      <c r="X53" s="122"/>
      <c r="Y53" s="122"/>
      <c r="Z53" s="166"/>
      <c r="AA53" s="122"/>
      <c r="AB53" s="122"/>
      <c r="AC53" s="166"/>
      <c r="AD53" s="122"/>
      <c r="AE53" s="122"/>
      <c r="AF53" s="166"/>
      <c r="AG53" s="122"/>
      <c r="AH53" s="122"/>
      <c r="AI53" s="166"/>
      <c r="AJ53" s="122"/>
      <c r="AK53" s="122"/>
      <c r="AL53" s="166"/>
      <c r="AM53" s="122"/>
      <c r="AN53" s="122"/>
      <c r="AO53" s="166"/>
      <c r="AP53" s="122"/>
      <c r="AQ53" s="122"/>
      <c r="AR53" s="166"/>
      <c r="AS53" s="122"/>
      <c r="AT53" s="122"/>
      <c r="AU53" s="166"/>
      <c r="AV53" s="122"/>
      <c r="AW53" s="122"/>
      <c r="AX53" s="166"/>
      <c r="AY53" s="122"/>
      <c r="AZ53" s="122"/>
      <c r="BA53" s="166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8"/>
      <c r="CA53" s="168"/>
      <c r="CB53" s="168"/>
      <c r="CC53" s="168"/>
      <c r="CD53" s="168"/>
      <c r="CE53" s="122"/>
      <c r="CF53" s="122"/>
      <c r="CG53" s="122"/>
      <c r="CH53" s="122"/>
      <c r="CI53" s="122"/>
      <c r="CJ53" s="125"/>
      <c r="CK53" s="122"/>
      <c r="CL53" s="120"/>
      <c r="CM53" s="125"/>
      <c r="CN53" s="122"/>
      <c r="CO53" s="122"/>
      <c r="CP53" s="125"/>
      <c r="CQ53" s="122"/>
      <c r="CR53" s="120"/>
      <c r="CS53" s="125"/>
      <c r="CT53" s="122"/>
      <c r="CU53" s="120"/>
      <c r="CV53" s="125"/>
      <c r="CW53" s="122"/>
      <c r="CX53" s="122"/>
      <c r="CY53" s="125"/>
      <c r="CZ53" s="122"/>
      <c r="DA53" s="122"/>
      <c r="DB53" s="125"/>
    </row>
    <row r="54" spans="1:106" ht="15">
      <c r="A54" s="110"/>
      <c r="B54" s="110"/>
      <c r="C54" s="4"/>
      <c r="D54" s="2"/>
      <c r="E54" s="4"/>
      <c r="F54" s="2"/>
      <c r="G54" s="4"/>
      <c r="H54" s="4"/>
      <c r="I54" s="141"/>
      <c r="J54" s="141"/>
      <c r="K54" s="164"/>
      <c r="L54" s="141"/>
      <c r="M54" s="141"/>
      <c r="N54" s="164"/>
      <c r="O54" s="165"/>
      <c r="P54" s="165"/>
      <c r="Q54" s="164"/>
      <c r="R54" s="141"/>
      <c r="S54" s="141"/>
      <c r="T54" s="164"/>
      <c r="U54" s="141"/>
      <c r="V54" s="141"/>
      <c r="W54" s="166"/>
      <c r="X54" s="122"/>
      <c r="Y54" s="122"/>
      <c r="Z54" s="166"/>
      <c r="AA54" s="122"/>
      <c r="AB54" s="122"/>
      <c r="AC54" s="166"/>
      <c r="AD54" s="122"/>
      <c r="AE54" s="122"/>
      <c r="AF54" s="166"/>
      <c r="AG54" s="122"/>
      <c r="AH54" s="122"/>
      <c r="AI54" s="166"/>
      <c r="AJ54" s="122"/>
      <c r="AK54" s="122"/>
      <c r="AL54" s="166"/>
      <c r="AM54" s="122"/>
      <c r="AN54" s="122"/>
      <c r="AO54" s="166"/>
      <c r="AP54" s="122"/>
      <c r="AQ54" s="122"/>
      <c r="AR54" s="166"/>
      <c r="AS54" s="122"/>
      <c r="AT54" s="122"/>
      <c r="AU54" s="166"/>
      <c r="AV54" s="122"/>
      <c r="AW54" s="122"/>
      <c r="AX54" s="166"/>
      <c r="AY54" s="122"/>
      <c r="AZ54" s="122"/>
      <c r="BA54" s="166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8"/>
      <c r="CA54" s="168"/>
      <c r="CB54" s="168"/>
      <c r="CC54" s="168"/>
      <c r="CD54" s="168"/>
      <c r="CE54" s="122"/>
      <c r="CF54" s="122"/>
      <c r="CG54" s="122"/>
      <c r="CH54" s="122"/>
      <c r="CI54" s="122"/>
      <c r="CJ54" s="125"/>
      <c r="CK54" s="122"/>
      <c r="CL54" s="120"/>
      <c r="CM54" s="125"/>
      <c r="CN54" s="122"/>
      <c r="CO54" s="122"/>
      <c r="CP54" s="125"/>
      <c r="CQ54" s="122"/>
      <c r="CR54" s="120"/>
      <c r="CS54" s="125"/>
      <c r="CT54" s="122"/>
      <c r="CU54" s="120"/>
      <c r="CV54" s="125"/>
      <c r="CW54" s="122"/>
      <c r="CX54" s="122"/>
      <c r="CY54" s="125"/>
      <c r="CZ54" s="122"/>
      <c r="DA54" s="122"/>
      <c r="DB54" s="125"/>
    </row>
    <row r="55" spans="1:106" ht="15">
      <c r="A55" s="110"/>
      <c r="B55" s="110"/>
      <c r="C55" s="4"/>
      <c r="D55" s="2"/>
      <c r="E55" s="4"/>
      <c r="F55" s="2"/>
      <c r="G55" s="4"/>
      <c r="H55" s="4"/>
      <c r="I55" s="141"/>
      <c r="J55" s="141"/>
      <c r="K55" s="164"/>
      <c r="L55" s="141"/>
      <c r="M55" s="141"/>
      <c r="N55" s="164"/>
      <c r="O55" s="165"/>
      <c r="P55" s="165"/>
      <c r="Q55" s="164"/>
      <c r="R55" s="141"/>
      <c r="S55" s="141"/>
      <c r="T55" s="164"/>
      <c r="U55" s="141"/>
      <c r="V55" s="141"/>
      <c r="W55" s="166"/>
      <c r="X55" s="122"/>
      <c r="Y55" s="122"/>
      <c r="Z55" s="166"/>
      <c r="AA55" s="122"/>
      <c r="AB55" s="122"/>
      <c r="AC55" s="166"/>
      <c r="AD55" s="122"/>
      <c r="AE55" s="122"/>
      <c r="AF55" s="166"/>
      <c r="AG55" s="122"/>
      <c r="AH55" s="122"/>
      <c r="AI55" s="166"/>
      <c r="AJ55" s="122"/>
      <c r="AK55" s="122"/>
      <c r="AL55" s="166"/>
      <c r="AM55" s="122"/>
      <c r="AN55" s="122"/>
      <c r="AO55" s="166"/>
      <c r="AP55" s="122"/>
      <c r="AQ55" s="122"/>
      <c r="AR55" s="166"/>
      <c r="AS55" s="122"/>
      <c r="AT55" s="122"/>
      <c r="AU55" s="166"/>
      <c r="AV55" s="122"/>
      <c r="AW55" s="122"/>
      <c r="AX55" s="166"/>
      <c r="AY55" s="122"/>
      <c r="AZ55" s="122"/>
      <c r="BA55" s="166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8"/>
      <c r="CA55" s="168"/>
      <c r="CB55" s="168"/>
      <c r="CC55" s="168"/>
      <c r="CD55" s="168"/>
      <c r="CE55" s="122"/>
      <c r="CF55" s="122"/>
      <c r="CG55" s="122"/>
      <c r="CH55" s="122"/>
      <c r="CI55" s="122"/>
      <c r="CJ55" s="125"/>
      <c r="CK55" s="122"/>
      <c r="CL55" s="120"/>
      <c r="CM55" s="125"/>
      <c r="CN55" s="122"/>
      <c r="CO55" s="122"/>
      <c r="CP55" s="125"/>
      <c r="CQ55" s="122"/>
      <c r="CR55" s="120"/>
      <c r="CS55" s="125"/>
      <c r="CT55" s="122"/>
      <c r="CU55" s="120"/>
      <c r="CV55" s="125"/>
      <c r="CW55" s="122"/>
      <c r="CX55" s="122"/>
      <c r="CY55" s="125"/>
      <c r="CZ55" s="122"/>
      <c r="DA55" s="122"/>
      <c r="DB55" s="125"/>
    </row>
    <row r="56" spans="1:106" ht="15">
      <c r="A56" s="110"/>
      <c r="B56" s="110"/>
      <c r="C56" s="4"/>
      <c r="D56" s="2"/>
      <c r="E56" s="4"/>
      <c r="F56" s="2"/>
      <c r="G56" s="4"/>
      <c r="H56" s="4"/>
      <c r="I56" s="141"/>
      <c r="J56" s="141"/>
      <c r="K56" s="164"/>
      <c r="L56" s="141"/>
      <c r="M56" s="141"/>
      <c r="N56" s="164"/>
      <c r="O56" s="165"/>
      <c r="P56" s="165"/>
      <c r="Q56" s="164"/>
      <c r="R56" s="141"/>
      <c r="S56" s="141"/>
      <c r="T56" s="164"/>
      <c r="U56" s="141"/>
      <c r="V56" s="141"/>
      <c r="W56" s="166"/>
      <c r="X56" s="122"/>
      <c r="Y56" s="122"/>
      <c r="Z56" s="166"/>
      <c r="AA56" s="122"/>
      <c r="AB56" s="122"/>
      <c r="AC56" s="166"/>
      <c r="AD56" s="122"/>
      <c r="AE56" s="122"/>
      <c r="AF56" s="166"/>
      <c r="AG56" s="122"/>
      <c r="AH56" s="122"/>
      <c r="AI56" s="166"/>
      <c r="AJ56" s="122"/>
      <c r="AK56" s="122"/>
      <c r="AL56" s="166"/>
      <c r="AM56" s="122"/>
      <c r="AN56" s="122"/>
      <c r="AO56" s="166"/>
      <c r="AP56" s="122"/>
      <c r="AQ56" s="122"/>
      <c r="AR56" s="166"/>
      <c r="AS56" s="122"/>
      <c r="AT56" s="122"/>
      <c r="AU56" s="166"/>
      <c r="AV56" s="122"/>
      <c r="AW56" s="122"/>
      <c r="AX56" s="166"/>
      <c r="AY56" s="122"/>
      <c r="AZ56" s="122"/>
      <c r="BA56" s="166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8"/>
      <c r="CA56" s="168"/>
      <c r="CB56" s="168"/>
      <c r="CC56" s="168"/>
      <c r="CD56" s="168"/>
      <c r="CE56" s="122"/>
      <c r="CF56" s="122"/>
      <c r="CG56" s="122"/>
      <c r="CH56" s="122"/>
      <c r="CI56" s="122"/>
      <c r="CJ56" s="125"/>
      <c r="CK56" s="122"/>
      <c r="CL56" s="120"/>
      <c r="CM56" s="125"/>
      <c r="CN56" s="122"/>
      <c r="CO56" s="122"/>
      <c r="CP56" s="125"/>
      <c r="CQ56" s="122"/>
      <c r="CR56" s="120"/>
      <c r="CS56" s="125"/>
      <c r="CT56" s="122"/>
      <c r="CU56" s="120"/>
      <c r="CV56" s="125"/>
      <c r="CW56" s="122"/>
      <c r="CX56" s="122"/>
      <c r="CY56" s="125"/>
      <c r="CZ56" s="122"/>
      <c r="DA56" s="122"/>
      <c r="DB56" s="125"/>
    </row>
    <row r="57" spans="1:106" ht="15">
      <c r="A57" s="110"/>
      <c r="B57" s="110"/>
      <c r="C57" s="4"/>
      <c r="D57" s="2"/>
      <c r="E57" s="4"/>
      <c r="F57" s="2"/>
      <c r="G57" s="4"/>
      <c r="H57" s="4"/>
      <c r="I57" s="141"/>
      <c r="J57" s="141"/>
      <c r="K57" s="164"/>
      <c r="L57" s="141"/>
      <c r="M57" s="141"/>
      <c r="N57" s="164"/>
      <c r="O57" s="165"/>
      <c r="P57" s="165"/>
      <c r="Q57" s="164"/>
      <c r="R57" s="141"/>
      <c r="S57" s="141"/>
      <c r="T57" s="164"/>
      <c r="U57" s="141"/>
      <c r="V57" s="141"/>
      <c r="W57" s="166"/>
      <c r="X57" s="122"/>
      <c r="Y57" s="122"/>
      <c r="Z57" s="166"/>
      <c r="AA57" s="122"/>
      <c r="AB57" s="122"/>
      <c r="AC57" s="166"/>
      <c r="AD57" s="122"/>
      <c r="AE57" s="122"/>
      <c r="AF57" s="166"/>
      <c r="AG57" s="122"/>
      <c r="AH57" s="122"/>
      <c r="AI57" s="166"/>
      <c r="AJ57" s="122"/>
      <c r="AK57" s="122"/>
      <c r="AL57" s="166"/>
      <c r="AM57" s="122"/>
      <c r="AN57" s="122"/>
      <c r="AO57" s="166"/>
      <c r="AP57" s="122"/>
      <c r="AQ57" s="122"/>
      <c r="AR57" s="166"/>
      <c r="AS57" s="122"/>
      <c r="AT57" s="122"/>
      <c r="AU57" s="166"/>
      <c r="AV57" s="122"/>
      <c r="AW57" s="122"/>
      <c r="AX57" s="166"/>
      <c r="AY57" s="122"/>
      <c r="AZ57" s="122"/>
      <c r="BA57" s="166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8"/>
      <c r="CA57" s="168"/>
      <c r="CB57" s="168"/>
      <c r="CC57" s="168"/>
      <c r="CD57" s="168"/>
      <c r="CE57" s="122"/>
      <c r="CF57" s="122"/>
      <c r="CG57" s="122"/>
      <c r="CH57" s="122"/>
      <c r="CI57" s="122"/>
      <c r="CJ57" s="125"/>
      <c r="CK57" s="122"/>
      <c r="CL57" s="120"/>
      <c r="CM57" s="125"/>
      <c r="CN57" s="122"/>
      <c r="CO57" s="122"/>
      <c r="CP57" s="125"/>
      <c r="CQ57" s="122"/>
      <c r="CR57" s="120"/>
      <c r="CS57" s="125"/>
      <c r="CT57" s="122"/>
      <c r="CU57" s="120"/>
      <c r="CV57" s="125"/>
      <c r="CW57" s="122"/>
      <c r="CX57" s="122"/>
      <c r="CY57" s="125"/>
      <c r="CZ57" s="122"/>
      <c r="DA57" s="122"/>
      <c r="DB57" s="125"/>
    </row>
    <row r="58" spans="1:106" ht="15">
      <c r="A58" s="110"/>
      <c r="B58" s="110"/>
      <c r="C58" s="4"/>
      <c r="D58" s="2"/>
      <c r="E58" s="4"/>
      <c r="F58" s="2"/>
      <c r="G58" s="4"/>
      <c r="H58" s="4"/>
      <c r="I58" s="141"/>
      <c r="J58" s="141"/>
      <c r="K58" s="164"/>
      <c r="L58" s="141"/>
      <c r="M58" s="141"/>
      <c r="N58" s="164"/>
      <c r="O58" s="165"/>
      <c r="P58" s="165"/>
      <c r="Q58" s="164"/>
      <c r="R58" s="141"/>
      <c r="S58" s="141"/>
      <c r="T58" s="164"/>
      <c r="U58" s="141"/>
      <c r="V58" s="141"/>
      <c r="W58" s="166"/>
      <c r="X58" s="122"/>
      <c r="Y58" s="122"/>
      <c r="Z58" s="166"/>
      <c r="AA58" s="122"/>
      <c r="AB58" s="122"/>
      <c r="AC58" s="166"/>
      <c r="AD58" s="122"/>
      <c r="AE58" s="122"/>
      <c r="AF58" s="166"/>
      <c r="AG58" s="122"/>
      <c r="AH58" s="122"/>
      <c r="AI58" s="166"/>
      <c r="AJ58" s="122"/>
      <c r="AK58" s="122"/>
      <c r="AL58" s="166"/>
      <c r="AM58" s="122"/>
      <c r="AN58" s="122"/>
      <c r="AO58" s="166"/>
      <c r="AP58" s="122"/>
      <c r="AQ58" s="122"/>
      <c r="AR58" s="166"/>
      <c r="AS58" s="122"/>
      <c r="AT58" s="122"/>
      <c r="AU58" s="166"/>
      <c r="AV58" s="122"/>
      <c r="AW58" s="122"/>
      <c r="AX58" s="166"/>
      <c r="AY58" s="122"/>
      <c r="AZ58" s="122"/>
      <c r="BA58" s="166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8"/>
      <c r="CA58" s="168"/>
      <c r="CB58" s="168"/>
      <c r="CC58" s="168"/>
      <c r="CD58" s="168"/>
      <c r="CE58" s="122"/>
      <c r="CF58" s="122"/>
      <c r="CG58" s="122"/>
      <c r="CH58" s="122"/>
      <c r="CI58" s="122"/>
      <c r="CJ58" s="125"/>
      <c r="CK58" s="122"/>
      <c r="CL58" s="120"/>
      <c r="CM58" s="125"/>
      <c r="CN58" s="122"/>
      <c r="CO58" s="122"/>
      <c r="CP58" s="125"/>
      <c r="CQ58" s="122"/>
      <c r="CR58" s="120"/>
      <c r="CS58" s="125"/>
      <c r="CT58" s="122"/>
      <c r="CU58" s="120"/>
      <c r="CV58" s="125"/>
      <c r="CW58" s="122"/>
      <c r="CX58" s="122"/>
      <c r="CY58" s="125"/>
      <c r="CZ58" s="122"/>
      <c r="DA58" s="122"/>
      <c r="DB58" s="125"/>
    </row>
    <row r="59" spans="1:106" ht="15">
      <c r="A59" s="110"/>
      <c r="B59" s="110"/>
      <c r="C59" s="4"/>
      <c r="D59" s="2"/>
      <c r="E59" s="4"/>
      <c r="F59" s="2"/>
      <c r="G59" s="4"/>
      <c r="H59" s="4"/>
      <c r="I59" s="141"/>
      <c r="J59" s="141"/>
      <c r="K59" s="164"/>
      <c r="L59" s="141"/>
      <c r="M59" s="141"/>
      <c r="N59" s="164"/>
      <c r="O59" s="165"/>
      <c r="P59" s="165"/>
      <c r="Q59" s="164"/>
      <c r="R59" s="141"/>
      <c r="S59" s="141"/>
      <c r="T59" s="164"/>
      <c r="U59" s="141"/>
      <c r="V59" s="141"/>
      <c r="W59" s="166"/>
      <c r="X59" s="122"/>
      <c r="Y59" s="122"/>
      <c r="Z59" s="166"/>
      <c r="AA59" s="122"/>
      <c r="AB59" s="122"/>
      <c r="AC59" s="166"/>
      <c r="AD59" s="122"/>
      <c r="AE59" s="122"/>
      <c r="AF59" s="166"/>
      <c r="AG59" s="122"/>
      <c r="AH59" s="122"/>
      <c r="AI59" s="166"/>
      <c r="AJ59" s="122"/>
      <c r="AK59" s="122"/>
      <c r="AL59" s="166"/>
      <c r="AM59" s="122"/>
      <c r="AN59" s="122"/>
      <c r="AO59" s="166"/>
      <c r="AP59" s="122"/>
      <c r="AQ59" s="122"/>
      <c r="AR59" s="166"/>
      <c r="AS59" s="122"/>
      <c r="AT59" s="122"/>
      <c r="AU59" s="166"/>
      <c r="AV59" s="122"/>
      <c r="AW59" s="122"/>
      <c r="AX59" s="166"/>
      <c r="AY59" s="122"/>
      <c r="AZ59" s="122"/>
      <c r="BA59" s="166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8"/>
      <c r="CA59" s="168"/>
      <c r="CB59" s="168"/>
      <c r="CC59" s="168"/>
      <c r="CD59" s="168"/>
      <c r="CE59" s="122"/>
      <c r="CF59" s="122"/>
      <c r="CG59" s="122"/>
      <c r="CH59" s="122"/>
      <c r="CI59" s="122"/>
      <c r="CJ59" s="125"/>
      <c r="CK59" s="122"/>
      <c r="CL59" s="120"/>
      <c r="CM59" s="125"/>
      <c r="CN59" s="122"/>
      <c r="CO59" s="122"/>
      <c r="CP59" s="125"/>
      <c r="CQ59" s="122"/>
      <c r="CR59" s="120"/>
      <c r="CS59" s="125"/>
      <c r="CT59" s="122"/>
      <c r="CU59" s="120"/>
      <c r="CV59" s="125"/>
      <c r="CW59" s="122"/>
      <c r="CX59" s="122"/>
      <c r="CY59" s="125"/>
      <c r="CZ59" s="122"/>
      <c r="DA59" s="122"/>
      <c r="DB59" s="125"/>
    </row>
  </sheetData>
  <sheetProtection/>
  <mergeCells count="22">
    <mergeCell ref="CK1:CM1"/>
    <mergeCell ref="CN1:CP1"/>
    <mergeCell ref="CQ1:CS1"/>
    <mergeCell ref="CT1:CV1"/>
    <mergeCell ref="CW1:CY1"/>
    <mergeCell ref="CZ1:DB1"/>
    <mergeCell ref="O1:Q1"/>
    <mergeCell ref="I1:K1"/>
    <mergeCell ref="L1:N1"/>
    <mergeCell ref="R1:T1"/>
    <mergeCell ref="U1:W1"/>
    <mergeCell ref="X1:Z1"/>
    <mergeCell ref="CH1:CJ1"/>
    <mergeCell ref="AA1:AC1"/>
    <mergeCell ref="AS1:AU1"/>
    <mergeCell ref="AV1:AX1"/>
    <mergeCell ref="AY1:BA1"/>
    <mergeCell ref="AM1:AO1"/>
    <mergeCell ref="AP1:AR1"/>
    <mergeCell ref="AD1:AF1"/>
    <mergeCell ref="AG1:AI1"/>
    <mergeCell ref="AJ1:AL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55"/>
  <sheetViews>
    <sheetView zoomScalePageLayoutView="0" workbookViewId="0" topLeftCell="A4">
      <pane ySplit="900" topLeftCell="A1" activePane="bottomLeft" state="split"/>
      <selection pane="topLeft" activeCell="A4" sqref="A4"/>
      <selection pane="bottomLeft" activeCell="G9" sqref="G9"/>
    </sheetView>
  </sheetViews>
  <sheetFormatPr defaultColWidth="11.421875" defaultRowHeight="15"/>
  <cols>
    <col min="1" max="1" width="14.00390625" style="14" bestFit="1" customWidth="1"/>
    <col min="2" max="2" width="10.8515625" style="14" bestFit="1" customWidth="1"/>
    <col min="3" max="3" width="3.421875" style="14" bestFit="1" customWidth="1"/>
    <col min="4" max="4" width="3.00390625" style="14" bestFit="1" customWidth="1"/>
    <col min="5" max="5" width="15.00390625" style="14" bestFit="1" customWidth="1"/>
    <col min="6" max="6" width="11.8515625" style="14" customWidth="1"/>
    <col min="7" max="7" width="11.00390625" style="14" bestFit="1" customWidth="1"/>
    <col min="8" max="8" width="4.421875" style="41" bestFit="1" customWidth="1"/>
    <col min="9" max="9" width="7.28125" style="31" bestFit="1" customWidth="1"/>
    <col min="10" max="10" width="4.00390625" style="42" bestFit="1" customWidth="1"/>
    <col min="11" max="11" width="5.00390625" style="31" bestFit="1" customWidth="1"/>
    <col min="12" max="12" width="6.28125" style="31" bestFit="1" customWidth="1"/>
    <col min="13" max="13" width="4.00390625" style="31" bestFit="1" customWidth="1"/>
    <col min="14" max="14" width="5.00390625" style="31" bestFit="1" customWidth="1"/>
    <col min="15" max="15" width="7.28125" style="31" bestFit="1" customWidth="1"/>
    <col min="16" max="16" width="4.00390625" style="43" bestFit="1" customWidth="1"/>
    <col min="17" max="17" width="4.421875" style="31" bestFit="1" customWidth="1"/>
    <col min="18" max="18" width="6.28125" style="31" bestFit="1" customWidth="1"/>
    <col min="19" max="19" width="4.00390625" style="43" bestFit="1" customWidth="1"/>
    <col min="20" max="20" width="5.00390625" style="31" bestFit="1" customWidth="1"/>
    <col min="21" max="21" width="6.28125" style="31" bestFit="1" customWidth="1"/>
    <col min="22" max="22" width="4.00390625" style="43" bestFit="1" customWidth="1"/>
    <col min="23" max="23" width="5.00390625" style="31" bestFit="1" customWidth="1"/>
    <col min="24" max="24" width="7.00390625" style="31" bestFit="1" customWidth="1"/>
    <col min="25" max="25" width="4.00390625" style="43" bestFit="1" customWidth="1"/>
    <col min="26" max="26" width="5.421875" style="107" customWidth="1"/>
    <col min="27" max="27" width="4.7109375" style="31" bestFit="1" customWidth="1"/>
    <col min="28" max="28" width="4.00390625" style="43" bestFit="1" customWidth="1"/>
    <col min="29" max="29" width="5.421875" style="31" customWidth="1"/>
    <col min="30" max="30" width="7.00390625" style="31" bestFit="1" customWidth="1"/>
    <col min="31" max="31" width="4.00390625" style="43" bestFit="1" customWidth="1"/>
    <col min="32" max="32" width="4.7109375" style="31" customWidth="1"/>
    <col min="33" max="33" width="6.57421875" style="31" bestFit="1" customWidth="1"/>
    <col min="34" max="34" width="4.00390625" style="43" bestFit="1" customWidth="1"/>
    <col min="35" max="35" width="4.7109375" style="31" customWidth="1"/>
    <col min="36" max="36" width="4.7109375" style="31" bestFit="1" customWidth="1"/>
    <col min="37" max="37" width="4.421875" style="43" bestFit="1" customWidth="1"/>
    <col min="38" max="38" width="4.7109375" style="31" customWidth="1"/>
    <col min="39" max="39" width="5.7109375" style="31" customWidth="1"/>
    <col min="40" max="40" width="4.00390625" style="43" bestFit="1" customWidth="1"/>
    <col min="41" max="41" width="5.57421875" style="31" customWidth="1"/>
    <col min="42" max="42" width="4.7109375" style="31" bestFit="1" customWidth="1"/>
    <col min="43" max="43" width="4.00390625" style="43" bestFit="1" customWidth="1"/>
    <col min="44" max="44" width="4.7109375" style="31" customWidth="1"/>
    <col min="45" max="45" width="4.7109375" style="31" bestFit="1" customWidth="1"/>
    <col min="46" max="46" width="4.00390625" style="43" bestFit="1" customWidth="1"/>
    <col min="47" max="66" width="5.57421875" style="0" hidden="1" customWidth="1"/>
  </cols>
  <sheetData>
    <row r="1" ht="15.75" thickBot="1"/>
    <row r="2" spans="8:46" ht="15.75" thickBot="1">
      <c r="H2" s="370">
        <v>42683</v>
      </c>
      <c r="I2" s="371"/>
      <c r="J2" s="372"/>
      <c r="K2" s="370">
        <v>42697</v>
      </c>
      <c r="L2" s="371"/>
      <c r="M2" s="372"/>
      <c r="N2" s="370">
        <v>42711</v>
      </c>
      <c r="O2" s="371"/>
      <c r="P2" s="372"/>
      <c r="Q2" s="370">
        <v>42756</v>
      </c>
      <c r="R2" s="371"/>
      <c r="S2" s="372"/>
      <c r="T2" s="370">
        <v>42770</v>
      </c>
      <c r="U2" s="371"/>
      <c r="V2" s="374"/>
      <c r="W2" s="370">
        <v>42791</v>
      </c>
      <c r="X2" s="371"/>
      <c r="Y2" s="372"/>
      <c r="Z2" s="370">
        <v>42837</v>
      </c>
      <c r="AA2" s="371"/>
      <c r="AB2" s="372"/>
      <c r="AC2" s="370" t="s">
        <v>382</v>
      </c>
      <c r="AD2" s="371"/>
      <c r="AE2" s="372"/>
      <c r="AF2" s="370">
        <v>42875</v>
      </c>
      <c r="AG2" s="371"/>
      <c r="AH2" s="372"/>
      <c r="AI2" s="373">
        <v>42893</v>
      </c>
      <c r="AJ2" s="371"/>
      <c r="AK2" s="374"/>
      <c r="AL2" s="364">
        <v>42914</v>
      </c>
      <c r="AM2" s="365"/>
      <c r="AN2" s="366"/>
      <c r="AO2" s="364">
        <v>42917</v>
      </c>
      <c r="AP2" s="365"/>
      <c r="AQ2" s="366"/>
      <c r="AR2" s="367"/>
      <c r="AS2" s="368"/>
      <c r="AT2" s="369"/>
    </row>
    <row r="3" spans="6:66" ht="15">
      <c r="F3" s="268" t="e">
        <f>SUM(F)</f>
        <v>#NAME?</v>
      </c>
      <c r="G3" s="269" t="s">
        <v>25</v>
      </c>
      <c r="H3" s="47" t="s">
        <v>7</v>
      </c>
      <c r="I3" s="45" t="s">
        <v>8</v>
      </c>
      <c r="J3" s="46" t="s">
        <v>9</v>
      </c>
      <c r="K3" s="44" t="s">
        <v>7</v>
      </c>
      <c r="L3" s="45" t="s">
        <v>8</v>
      </c>
      <c r="M3" s="46" t="s">
        <v>9</v>
      </c>
      <c r="N3" s="44" t="s">
        <v>7</v>
      </c>
      <c r="O3" s="45" t="s">
        <v>8</v>
      </c>
      <c r="P3" s="46" t="s">
        <v>9</v>
      </c>
      <c r="Q3" s="44" t="s">
        <v>7</v>
      </c>
      <c r="R3" s="45" t="s">
        <v>8</v>
      </c>
      <c r="S3" s="46" t="s">
        <v>9</v>
      </c>
      <c r="T3" s="44" t="s">
        <v>7</v>
      </c>
      <c r="U3" s="45" t="s">
        <v>8</v>
      </c>
      <c r="V3" s="53" t="s">
        <v>9</v>
      </c>
      <c r="W3" s="44" t="s">
        <v>7</v>
      </c>
      <c r="X3" s="45" t="s">
        <v>8</v>
      </c>
      <c r="Y3" s="46" t="s">
        <v>9</v>
      </c>
      <c r="Z3" s="108" t="s">
        <v>7</v>
      </c>
      <c r="AA3" s="45" t="s">
        <v>8</v>
      </c>
      <c r="AB3" s="46" t="s">
        <v>9</v>
      </c>
      <c r="AC3" s="44" t="s">
        <v>7</v>
      </c>
      <c r="AD3" s="45" t="s">
        <v>8</v>
      </c>
      <c r="AE3" s="46" t="s">
        <v>9</v>
      </c>
      <c r="AF3" s="44" t="s">
        <v>7</v>
      </c>
      <c r="AG3" s="45" t="s">
        <v>8</v>
      </c>
      <c r="AH3" s="46" t="s">
        <v>9</v>
      </c>
      <c r="AI3" s="47" t="s">
        <v>7</v>
      </c>
      <c r="AJ3" s="45" t="s">
        <v>8</v>
      </c>
      <c r="AK3" s="53" t="s">
        <v>9</v>
      </c>
      <c r="AL3" s="44" t="s">
        <v>7</v>
      </c>
      <c r="AM3" s="45" t="s">
        <v>8</v>
      </c>
      <c r="AN3" s="46" t="s">
        <v>9</v>
      </c>
      <c r="AO3" s="44" t="s">
        <v>7</v>
      </c>
      <c r="AP3" s="45" t="s">
        <v>8</v>
      </c>
      <c r="AQ3" s="46" t="s">
        <v>9</v>
      </c>
      <c r="AR3" s="44" t="s">
        <v>7</v>
      </c>
      <c r="AS3" s="45" t="s">
        <v>8</v>
      </c>
      <c r="AT3" s="46" t="s">
        <v>9</v>
      </c>
      <c r="AU3" s="58"/>
      <c r="AV3" s="66">
        <v>1</v>
      </c>
      <c r="AW3" s="66">
        <v>2</v>
      </c>
      <c r="AX3" s="66">
        <v>3</v>
      </c>
      <c r="AY3" s="66">
        <v>4</v>
      </c>
      <c r="AZ3" s="66">
        <v>5</v>
      </c>
      <c r="BA3" s="66">
        <v>6</v>
      </c>
      <c r="BB3" s="66">
        <v>7</v>
      </c>
      <c r="BC3" s="66">
        <v>8</v>
      </c>
      <c r="BD3" s="66">
        <v>9</v>
      </c>
      <c r="BE3" s="66">
        <v>10</v>
      </c>
      <c r="BF3" s="66">
        <v>11</v>
      </c>
      <c r="BG3" s="66">
        <v>12</v>
      </c>
      <c r="BH3" s="66">
        <v>13</v>
      </c>
      <c r="BI3" s="66"/>
      <c r="BJ3" s="64" t="s">
        <v>26</v>
      </c>
      <c r="BK3" s="64" t="s">
        <v>27</v>
      </c>
      <c r="BL3" s="64" t="s">
        <v>28</v>
      </c>
      <c r="BM3" s="64" t="s">
        <v>29</v>
      </c>
      <c r="BN3" s="64" t="s">
        <v>30</v>
      </c>
    </row>
    <row r="4" spans="1:66" ht="15">
      <c r="A4" s="189" t="s">
        <v>128</v>
      </c>
      <c r="B4" s="189" t="s">
        <v>129</v>
      </c>
      <c r="C4" s="189" t="s">
        <v>47</v>
      </c>
      <c r="D4" s="266">
        <v>50</v>
      </c>
      <c r="E4" s="189" t="s">
        <v>17</v>
      </c>
      <c r="F4" s="189">
        <f>SUM(M4,AE4,AH4,AK4,AN4,AQ4)</f>
        <v>4667</v>
      </c>
      <c r="G4" s="266">
        <v>1</v>
      </c>
      <c r="H4" s="47"/>
      <c r="I4" s="51"/>
      <c r="J4" s="46"/>
      <c r="K4" s="44">
        <v>1500</v>
      </c>
      <c r="L4" s="276" t="s">
        <v>130</v>
      </c>
      <c r="M4" s="274">
        <f>SUM(730+50)</f>
        <v>780</v>
      </c>
      <c r="N4" s="50"/>
      <c r="O4" s="51"/>
      <c r="P4" s="277"/>
      <c r="Q4" s="50"/>
      <c r="R4" s="51"/>
      <c r="S4" s="277"/>
      <c r="T4" s="50"/>
      <c r="U4" s="51"/>
      <c r="V4" s="278"/>
      <c r="W4" s="50"/>
      <c r="X4" s="51"/>
      <c r="Y4" s="277"/>
      <c r="Z4" s="280"/>
      <c r="AA4" s="51"/>
      <c r="AB4" s="277"/>
      <c r="AC4" s="50">
        <v>3000</v>
      </c>
      <c r="AD4" s="51" t="s">
        <v>389</v>
      </c>
      <c r="AE4" s="281">
        <f>SUM(629+50)</f>
        <v>679</v>
      </c>
      <c r="AF4" s="50">
        <v>1500</v>
      </c>
      <c r="AG4" s="51" t="s">
        <v>404</v>
      </c>
      <c r="AH4" s="281">
        <f>SUM(686+50)</f>
        <v>736</v>
      </c>
      <c r="AI4" s="282">
        <v>1500</v>
      </c>
      <c r="AJ4" s="51" t="s">
        <v>420</v>
      </c>
      <c r="AK4" s="279">
        <f>SUM(808+50)</f>
        <v>858</v>
      </c>
      <c r="AL4" s="50">
        <v>3000</v>
      </c>
      <c r="AM4" s="51" t="s">
        <v>430</v>
      </c>
      <c r="AN4" s="281">
        <f>SUM(762+50)</f>
        <v>812</v>
      </c>
      <c r="AO4" s="50">
        <v>1500</v>
      </c>
      <c r="AP4" s="51" t="s">
        <v>433</v>
      </c>
      <c r="AQ4" s="281">
        <f>SUM(752+50)</f>
        <v>802</v>
      </c>
      <c r="AR4" s="50"/>
      <c r="AS4" s="51"/>
      <c r="AT4" s="277"/>
      <c r="AU4" s="58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4"/>
      <c r="BK4" s="64"/>
      <c r="BL4" s="64"/>
      <c r="BM4" s="64"/>
      <c r="BN4" s="64"/>
    </row>
    <row r="5" spans="1:66" ht="15">
      <c r="A5" s="283" t="s">
        <v>269</v>
      </c>
      <c r="B5" s="283" t="s">
        <v>210</v>
      </c>
      <c r="C5" s="283" t="s">
        <v>38</v>
      </c>
      <c r="D5" s="284"/>
      <c r="E5" s="285" t="s">
        <v>61</v>
      </c>
      <c r="F5" s="286">
        <f>SUM(J5,Y5,AB5,AK5,AN5,AQ5)</f>
        <v>4346</v>
      </c>
      <c r="G5" s="287">
        <v>2</v>
      </c>
      <c r="H5" s="52">
        <v>3000</v>
      </c>
      <c r="I5" s="29" t="s">
        <v>314</v>
      </c>
      <c r="J5" s="260">
        <v>690</v>
      </c>
      <c r="K5" s="35"/>
      <c r="L5" s="37"/>
      <c r="M5" s="36"/>
      <c r="N5" s="39"/>
      <c r="O5" s="29"/>
      <c r="P5" s="38"/>
      <c r="Q5" s="39"/>
      <c r="R5" s="29"/>
      <c r="S5" s="38"/>
      <c r="T5" s="39"/>
      <c r="U5" s="29"/>
      <c r="V5" s="54"/>
      <c r="W5" s="39">
        <v>5000</v>
      </c>
      <c r="X5" s="29" t="s">
        <v>270</v>
      </c>
      <c r="Y5" s="258">
        <v>721</v>
      </c>
      <c r="Z5" s="34">
        <v>10000</v>
      </c>
      <c r="AA5" s="29" t="s">
        <v>354</v>
      </c>
      <c r="AB5" s="258">
        <v>735</v>
      </c>
      <c r="AC5" s="39"/>
      <c r="AD5" s="29"/>
      <c r="AE5" s="38"/>
      <c r="AF5" s="39"/>
      <c r="AG5" s="29"/>
      <c r="AH5" s="38"/>
      <c r="AI5" s="48">
        <v>1500</v>
      </c>
      <c r="AJ5" s="29" t="s">
        <v>419</v>
      </c>
      <c r="AK5" s="259">
        <v>759</v>
      </c>
      <c r="AL5" s="39">
        <v>5000</v>
      </c>
      <c r="AM5" s="29" t="s">
        <v>428</v>
      </c>
      <c r="AN5" s="258">
        <v>684</v>
      </c>
      <c r="AO5" s="39">
        <v>10000</v>
      </c>
      <c r="AP5" s="29" t="s">
        <v>434</v>
      </c>
      <c r="AQ5" s="258">
        <v>757</v>
      </c>
      <c r="AR5" s="39"/>
      <c r="AS5" s="29"/>
      <c r="AT5" s="38"/>
      <c r="AU5">
        <f>COUNTA(AT5,AQ5,AN5,AK5,AH5,AE5,AB5,Y5,V5,S5,P5,M5,J5)</f>
        <v>6</v>
      </c>
      <c r="AV5" s="65">
        <f>J5</f>
        <v>690</v>
      </c>
      <c r="AW5" s="65">
        <f>M5</f>
        <v>0</v>
      </c>
      <c r="AX5" s="65">
        <f>P5</f>
        <v>0</v>
      </c>
      <c r="AY5" s="65">
        <f>S5</f>
        <v>0</v>
      </c>
      <c r="AZ5" s="65">
        <f>V5</f>
        <v>0</v>
      </c>
      <c r="BA5" s="65">
        <f>Y5</f>
        <v>721</v>
      </c>
      <c r="BB5" s="65">
        <f>AB5</f>
        <v>735</v>
      </c>
      <c r="BC5" s="65">
        <f>AE5</f>
        <v>0</v>
      </c>
      <c r="BD5" s="65">
        <f>AH5</f>
        <v>0</v>
      </c>
      <c r="BE5" s="65">
        <f>AK5</f>
        <v>759</v>
      </c>
      <c r="BF5" s="65">
        <f>AN5</f>
        <v>684</v>
      </c>
      <c r="BG5" s="65">
        <f>AQ5</f>
        <v>757</v>
      </c>
      <c r="BH5" s="65">
        <f>AT5</f>
        <v>0</v>
      </c>
      <c r="BI5" s="65"/>
      <c r="BJ5" s="63">
        <f>LARGE(AV5:BI5,1)</f>
        <v>759</v>
      </c>
      <c r="BK5" s="63">
        <f>LARGE(AV5:BI5,2)</f>
        <v>757</v>
      </c>
      <c r="BL5" s="63">
        <f>LARGE(AV5:BI5,3)</f>
        <v>735</v>
      </c>
      <c r="BM5" s="63">
        <f>LARGE(AV5:BI5,4)</f>
        <v>721</v>
      </c>
      <c r="BN5" s="63">
        <f>LARGE(AV5:BI5,5)</f>
        <v>690</v>
      </c>
    </row>
    <row r="6" spans="1:66" ht="15">
      <c r="A6" s="189" t="s">
        <v>105</v>
      </c>
      <c r="B6" s="189" t="s">
        <v>106</v>
      </c>
      <c r="C6" s="189" t="s">
        <v>47</v>
      </c>
      <c r="D6" s="266">
        <v>50</v>
      </c>
      <c r="E6" s="190" t="s">
        <v>69</v>
      </c>
      <c r="F6" s="189">
        <f>SUM(J6,M6,V6,AE6,AH6,AK6)</f>
        <v>3914</v>
      </c>
      <c r="G6" s="266">
        <v>3</v>
      </c>
      <c r="H6" s="52">
        <v>800</v>
      </c>
      <c r="I6" s="49" t="s">
        <v>107</v>
      </c>
      <c r="J6" s="265">
        <f>SUM(581+50)</f>
        <v>631</v>
      </c>
      <c r="K6" s="39">
        <v>1500</v>
      </c>
      <c r="L6" s="29" t="s">
        <v>139</v>
      </c>
      <c r="M6" s="264">
        <f>SUM(605+50)</f>
        <v>655</v>
      </c>
      <c r="N6" s="39"/>
      <c r="O6" s="29"/>
      <c r="P6" s="38"/>
      <c r="Q6" s="39">
        <v>1500</v>
      </c>
      <c r="R6" s="29" t="s">
        <v>191</v>
      </c>
      <c r="S6" s="38">
        <f>SUM(494+50)</f>
        <v>544</v>
      </c>
      <c r="T6" s="39">
        <v>800</v>
      </c>
      <c r="U6" s="29" t="s">
        <v>251</v>
      </c>
      <c r="V6" s="252">
        <f>SUM(557+50)</f>
        <v>607</v>
      </c>
      <c r="W6" s="39"/>
      <c r="X6" s="29"/>
      <c r="Y6" s="38"/>
      <c r="Z6" s="34"/>
      <c r="AA6" s="29"/>
      <c r="AB6" s="38"/>
      <c r="AC6" s="39" t="s">
        <v>392</v>
      </c>
      <c r="AD6" s="29" t="s">
        <v>393</v>
      </c>
      <c r="AE6" s="257">
        <f>SUM(626+50)</f>
        <v>676</v>
      </c>
      <c r="AF6" s="39">
        <v>1500</v>
      </c>
      <c r="AG6" s="29" t="s">
        <v>404</v>
      </c>
      <c r="AH6" s="257">
        <f>SUM(636+50)</f>
        <v>686</v>
      </c>
      <c r="AI6" s="48">
        <v>1500</v>
      </c>
      <c r="AJ6" s="29" t="s">
        <v>421</v>
      </c>
      <c r="AK6" s="252">
        <f>SUM(609+50)</f>
        <v>659</v>
      </c>
      <c r="AL6" s="39"/>
      <c r="AM6" s="29"/>
      <c r="AN6" s="38"/>
      <c r="AO6" s="39"/>
      <c r="AP6" s="29"/>
      <c r="AQ6" s="38"/>
      <c r="AR6" s="39"/>
      <c r="AS6" s="29"/>
      <c r="AT6" s="38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3"/>
      <c r="BK6" s="63"/>
      <c r="BL6" s="63"/>
      <c r="BM6" s="63"/>
      <c r="BN6" s="63"/>
    </row>
    <row r="7" spans="1:66" ht="15">
      <c r="A7" s="6" t="s">
        <v>118</v>
      </c>
      <c r="B7" s="6" t="s">
        <v>100</v>
      </c>
      <c r="C7" s="6" t="s">
        <v>104</v>
      </c>
      <c r="D7" s="23"/>
      <c r="E7" s="7" t="s">
        <v>69</v>
      </c>
      <c r="F7" s="6">
        <f>SUM(J7,S7,V7,AB7,AH7,AK7)</f>
        <v>3767</v>
      </c>
      <c r="G7" s="23">
        <v>4</v>
      </c>
      <c r="H7" s="52">
        <v>3000</v>
      </c>
      <c r="I7" s="29" t="s">
        <v>308</v>
      </c>
      <c r="J7" s="256">
        <v>567</v>
      </c>
      <c r="K7" s="35">
        <v>1500</v>
      </c>
      <c r="L7" s="37" t="s">
        <v>117</v>
      </c>
      <c r="M7" s="36">
        <v>551</v>
      </c>
      <c r="N7" s="39"/>
      <c r="O7" s="29"/>
      <c r="P7" s="38"/>
      <c r="Q7" s="39">
        <v>5000</v>
      </c>
      <c r="R7" s="29" t="s">
        <v>193</v>
      </c>
      <c r="S7" s="255">
        <v>603</v>
      </c>
      <c r="T7" s="39">
        <v>800</v>
      </c>
      <c r="U7" s="29" t="s">
        <v>243</v>
      </c>
      <c r="V7" s="253">
        <v>639</v>
      </c>
      <c r="W7" s="39"/>
      <c r="X7" s="29"/>
      <c r="Y7" s="38"/>
      <c r="Z7" s="34">
        <v>10000</v>
      </c>
      <c r="AA7" s="29" t="s">
        <v>344</v>
      </c>
      <c r="AB7" s="254">
        <v>666</v>
      </c>
      <c r="AC7" s="39"/>
      <c r="AD7" s="29"/>
      <c r="AE7" s="38"/>
      <c r="AF7" s="39">
        <v>800</v>
      </c>
      <c r="AG7" s="29" t="s">
        <v>409</v>
      </c>
      <c r="AH7" s="254">
        <v>616</v>
      </c>
      <c r="AI7" s="48">
        <v>1500</v>
      </c>
      <c r="AJ7" s="29" t="s">
        <v>422</v>
      </c>
      <c r="AK7" s="253">
        <v>676</v>
      </c>
      <c r="AL7" s="39"/>
      <c r="AM7" s="29"/>
      <c r="AN7" s="38"/>
      <c r="AO7" s="39"/>
      <c r="AP7" s="29"/>
      <c r="AQ7" s="38"/>
      <c r="AR7" s="39"/>
      <c r="AS7" s="29"/>
      <c r="AT7" s="38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3"/>
      <c r="BK7" s="63"/>
      <c r="BL7" s="63"/>
      <c r="BM7" s="63"/>
      <c r="BN7" s="63"/>
    </row>
    <row r="8" spans="1:66" ht="15">
      <c r="A8" s="6" t="s">
        <v>114</v>
      </c>
      <c r="B8" s="6" t="s">
        <v>115</v>
      </c>
      <c r="C8" s="6" t="s">
        <v>59</v>
      </c>
      <c r="D8" s="24"/>
      <c r="E8" s="7" t="s">
        <v>61</v>
      </c>
      <c r="F8" s="6">
        <f>SUM(J8,M8,V8,AB8,AH8,AK8)</f>
        <v>3205</v>
      </c>
      <c r="G8" s="23">
        <v>5</v>
      </c>
      <c r="H8" s="52">
        <v>3000</v>
      </c>
      <c r="I8" s="29" t="s">
        <v>309</v>
      </c>
      <c r="J8" s="256">
        <v>558</v>
      </c>
      <c r="K8" s="35">
        <v>1500</v>
      </c>
      <c r="L8" s="37" t="s">
        <v>116</v>
      </c>
      <c r="M8" s="256">
        <v>565</v>
      </c>
      <c r="N8" s="39"/>
      <c r="O8" s="29"/>
      <c r="P8" s="38"/>
      <c r="Q8" s="39"/>
      <c r="R8" s="29"/>
      <c r="S8" s="38"/>
      <c r="T8" s="39">
        <v>800</v>
      </c>
      <c r="U8" s="29" t="s">
        <v>244</v>
      </c>
      <c r="V8" s="253">
        <v>543</v>
      </c>
      <c r="W8" s="39"/>
      <c r="X8" s="29"/>
      <c r="Y8" s="38"/>
      <c r="Z8" s="34">
        <v>10000</v>
      </c>
      <c r="AA8" s="29" t="s">
        <v>353</v>
      </c>
      <c r="AB8" s="254">
        <v>326</v>
      </c>
      <c r="AC8" s="39"/>
      <c r="AD8" s="29"/>
      <c r="AE8" s="38"/>
      <c r="AF8" s="39">
        <v>800</v>
      </c>
      <c r="AG8" s="29" t="s">
        <v>408</v>
      </c>
      <c r="AH8" s="254">
        <v>631</v>
      </c>
      <c r="AI8" s="48">
        <v>1500</v>
      </c>
      <c r="AJ8" s="29" t="s">
        <v>423</v>
      </c>
      <c r="AK8" s="253">
        <v>582</v>
      </c>
      <c r="AL8" s="39"/>
      <c r="AM8" s="29"/>
      <c r="AN8" s="38"/>
      <c r="AO8" s="39"/>
      <c r="AP8" s="29"/>
      <c r="AQ8" s="38"/>
      <c r="AR8" s="39"/>
      <c r="AS8" s="29"/>
      <c r="AT8" s="38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3"/>
      <c r="BK8" s="63"/>
      <c r="BL8" s="63"/>
      <c r="BM8" s="63"/>
      <c r="BN8" s="63"/>
    </row>
    <row r="9" spans="1:66" ht="15">
      <c r="A9" s="6" t="s">
        <v>94</v>
      </c>
      <c r="B9" s="6" t="s">
        <v>95</v>
      </c>
      <c r="C9" s="6" t="s">
        <v>35</v>
      </c>
      <c r="D9" s="24">
        <v>50</v>
      </c>
      <c r="E9" s="7" t="s">
        <v>61</v>
      </c>
      <c r="F9" s="6">
        <f>SUM(J9,M9,Y9,AE9,AH9,AK9)</f>
        <v>2734</v>
      </c>
      <c r="G9" s="23">
        <v>6</v>
      </c>
      <c r="H9" s="52">
        <v>800</v>
      </c>
      <c r="I9" s="29" t="s">
        <v>93</v>
      </c>
      <c r="J9" s="256">
        <f>SUM(450+50)</f>
        <v>500</v>
      </c>
      <c r="K9" s="35">
        <v>1500</v>
      </c>
      <c r="L9" s="37" t="s">
        <v>325</v>
      </c>
      <c r="M9" s="256">
        <f>SUM(388+50)</f>
        <v>438</v>
      </c>
      <c r="N9" s="39"/>
      <c r="O9" s="29"/>
      <c r="P9" s="38"/>
      <c r="Q9" s="39">
        <v>1500</v>
      </c>
      <c r="R9" s="29" t="s">
        <v>190</v>
      </c>
      <c r="S9" s="38">
        <v>301</v>
      </c>
      <c r="T9" s="39"/>
      <c r="U9" s="29"/>
      <c r="V9" s="54"/>
      <c r="W9" s="39">
        <v>1500</v>
      </c>
      <c r="X9" s="29" t="s">
        <v>265</v>
      </c>
      <c r="Y9" s="254">
        <f>SUM(376+50)</f>
        <v>426</v>
      </c>
      <c r="Z9" s="34"/>
      <c r="AA9" s="29"/>
      <c r="AB9" s="38"/>
      <c r="AC9" s="39">
        <v>1500</v>
      </c>
      <c r="AD9" s="29" t="s">
        <v>394</v>
      </c>
      <c r="AE9" s="254">
        <f>SUM(356+50)</f>
        <v>406</v>
      </c>
      <c r="AF9" s="39">
        <v>800</v>
      </c>
      <c r="AG9" s="29" t="s">
        <v>412</v>
      </c>
      <c r="AH9" s="254">
        <f>SUM(498+50)</f>
        <v>548</v>
      </c>
      <c r="AI9" s="48">
        <v>1500</v>
      </c>
      <c r="AJ9" s="29" t="s">
        <v>425</v>
      </c>
      <c r="AK9" s="253">
        <f>SUM(366+50)</f>
        <v>416</v>
      </c>
      <c r="AL9" s="39"/>
      <c r="AM9" s="29"/>
      <c r="AN9" s="38"/>
      <c r="AO9" s="39"/>
      <c r="AP9" s="29"/>
      <c r="AQ9" s="38"/>
      <c r="AR9" s="39"/>
      <c r="AS9" s="29"/>
      <c r="AT9" s="3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3"/>
      <c r="BK9" s="63"/>
      <c r="BL9" s="63"/>
      <c r="BM9" s="63"/>
      <c r="BN9" s="63"/>
    </row>
    <row r="10" spans="1:66" ht="15">
      <c r="A10" s="90" t="s">
        <v>3</v>
      </c>
      <c r="B10" s="90" t="s">
        <v>100</v>
      </c>
      <c r="C10" s="90" t="s">
        <v>35</v>
      </c>
      <c r="D10" s="263">
        <v>50</v>
      </c>
      <c r="E10" s="207" t="s">
        <v>69</v>
      </c>
      <c r="F10" s="90"/>
      <c r="G10" s="91"/>
      <c r="H10" s="52">
        <v>800</v>
      </c>
      <c r="I10" s="29" t="s">
        <v>99</v>
      </c>
      <c r="J10" s="36">
        <v>275</v>
      </c>
      <c r="K10" s="39">
        <v>1500</v>
      </c>
      <c r="L10" s="29" t="s">
        <v>131</v>
      </c>
      <c r="M10" s="40">
        <v>185</v>
      </c>
      <c r="N10" s="39"/>
      <c r="O10" s="29"/>
      <c r="P10" s="38"/>
      <c r="Q10" s="39"/>
      <c r="R10" s="29"/>
      <c r="S10" s="38"/>
      <c r="T10" s="39"/>
      <c r="U10" s="29"/>
      <c r="V10" s="54"/>
      <c r="W10" s="35"/>
      <c r="X10" s="29"/>
      <c r="Y10" s="38"/>
      <c r="Z10" s="34"/>
      <c r="AA10" s="29"/>
      <c r="AB10" s="38"/>
      <c r="AC10" s="39">
        <v>1500</v>
      </c>
      <c r="AD10" s="29" t="s">
        <v>395</v>
      </c>
      <c r="AE10" s="38">
        <v>164</v>
      </c>
      <c r="AF10" s="39"/>
      <c r="AG10" s="29"/>
      <c r="AH10" s="38"/>
      <c r="AI10" s="48"/>
      <c r="AJ10" s="29"/>
      <c r="AK10" s="54"/>
      <c r="AL10" s="39"/>
      <c r="AM10" s="29"/>
      <c r="AN10" s="38"/>
      <c r="AO10" s="39"/>
      <c r="AP10" s="29"/>
      <c r="AQ10" s="38"/>
      <c r="AR10" s="39"/>
      <c r="AS10" s="29"/>
      <c r="AT10" s="38"/>
      <c r="AU10">
        <f>COUNTA(AT10,AQ10,AN10,AK10,AH10,AE10,AB10,Y10,V10,S10,P10,M10,J10)</f>
        <v>3</v>
      </c>
      <c r="AV10" s="65">
        <f>J10</f>
        <v>275</v>
      </c>
      <c r="AW10" s="65">
        <f>M10</f>
        <v>185</v>
      </c>
      <c r="AX10" s="65">
        <f>P10</f>
        <v>0</v>
      </c>
      <c r="AY10" s="65">
        <f>S10</f>
        <v>0</v>
      </c>
      <c r="AZ10" s="65">
        <f>V10</f>
        <v>0</v>
      </c>
      <c r="BA10" s="65">
        <f>Y10</f>
        <v>0</v>
      </c>
      <c r="BB10" s="65">
        <f>AB10</f>
        <v>0</v>
      </c>
      <c r="BC10" s="65">
        <f>AE10</f>
        <v>164</v>
      </c>
      <c r="BD10" s="65">
        <f>AH10</f>
        <v>0</v>
      </c>
      <c r="BE10" s="65">
        <f>AK10</f>
        <v>0</v>
      </c>
      <c r="BF10" s="65">
        <f>AN10</f>
        <v>0</v>
      </c>
      <c r="BG10" s="65">
        <f>AQ10</f>
        <v>0</v>
      </c>
      <c r="BH10" s="65">
        <f>AT10</f>
        <v>0</v>
      </c>
      <c r="BI10" s="65"/>
      <c r="BJ10" s="63">
        <f>LARGE(AV10:BI10,1)</f>
        <v>275</v>
      </c>
      <c r="BK10" s="63">
        <f>LARGE(AV10:BI10,2)</f>
        <v>185</v>
      </c>
      <c r="BL10" s="63">
        <f>LARGE(AV10:BI10,3)</f>
        <v>164</v>
      </c>
      <c r="BM10" s="63">
        <f>LARGE(AV10:BI10,4)</f>
        <v>0</v>
      </c>
      <c r="BN10" s="63">
        <f>LARGE(AV10:BI10,5)</f>
        <v>0</v>
      </c>
    </row>
    <row r="11" spans="1:66" ht="15">
      <c r="A11" s="90" t="s">
        <v>402</v>
      </c>
      <c r="B11" s="90" t="s">
        <v>417</v>
      </c>
      <c r="C11" s="90" t="s">
        <v>336</v>
      </c>
      <c r="D11" s="207">
        <v>68</v>
      </c>
      <c r="E11" s="207" t="s">
        <v>87</v>
      </c>
      <c r="F11" s="90"/>
      <c r="G11" s="90"/>
      <c r="H11" s="52"/>
      <c r="I11" s="29"/>
      <c r="J11" s="36"/>
      <c r="K11" s="39"/>
      <c r="L11" s="29"/>
      <c r="M11" s="40"/>
      <c r="N11" s="39"/>
      <c r="O11" s="29"/>
      <c r="P11" s="38"/>
      <c r="Q11" s="39"/>
      <c r="R11" s="29"/>
      <c r="S11" s="38"/>
      <c r="T11" s="39"/>
      <c r="U11" s="29"/>
      <c r="V11" s="54"/>
      <c r="W11" s="39"/>
      <c r="X11" s="29"/>
      <c r="Y11" s="38"/>
      <c r="Z11" s="34"/>
      <c r="AA11" s="29"/>
      <c r="AB11" s="38"/>
      <c r="AC11" s="39"/>
      <c r="AD11" s="29"/>
      <c r="AE11" s="38"/>
      <c r="AF11" s="39">
        <v>800</v>
      </c>
      <c r="AG11" s="29" t="s">
        <v>418</v>
      </c>
      <c r="AH11" s="38">
        <v>169</v>
      </c>
      <c r="AI11" s="48"/>
      <c r="AJ11" s="29"/>
      <c r="AK11" s="54"/>
      <c r="AL11" s="39"/>
      <c r="AM11" s="29"/>
      <c r="AN11" s="38"/>
      <c r="AO11" s="39"/>
      <c r="AP11" s="29"/>
      <c r="AQ11" s="38"/>
      <c r="AR11" s="39"/>
      <c r="AS11" s="29"/>
      <c r="AT11" s="38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3"/>
      <c r="BK11" s="63"/>
      <c r="BL11" s="63"/>
      <c r="BM11" s="63"/>
      <c r="BN11" s="63"/>
    </row>
    <row r="12" spans="1:66" ht="15">
      <c r="A12" s="90" t="s">
        <v>334</v>
      </c>
      <c r="B12" s="90" t="s">
        <v>335</v>
      </c>
      <c r="C12" s="90" t="s">
        <v>336</v>
      </c>
      <c r="D12" s="263">
        <v>74</v>
      </c>
      <c r="E12" s="207" t="s">
        <v>69</v>
      </c>
      <c r="F12" s="90"/>
      <c r="G12" s="91"/>
      <c r="H12" s="52"/>
      <c r="I12" s="29"/>
      <c r="J12" s="36"/>
      <c r="K12" s="39"/>
      <c r="L12" s="29"/>
      <c r="M12" s="40"/>
      <c r="N12" s="39"/>
      <c r="O12" s="29"/>
      <c r="P12" s="38"/>
      <c r="Q12" s="39"/>
      <c r="R12" s="29"/>
      <c r="S12" s="38"/>
      <c r="T12" s="39">
        <v>800</v>
      </c>
      <c r="U12" s="29" t="s">
        <v>337</v>
      </c>
      <c r="V12" s="54">
        <v>282</v>
      </c>
      <c r="W12" s="39"/>
      <c r="X12" s="29"/>
      <c r="Y12" s="38"/>
      <c r="Z12" s="34">
        <v>10000</v>
      </c>
      <c r="AA12" s="29" t="s">
        <v>359</v>
      </c>
      <c r="AB12" s="38">
        <v>220</v>
      </c>
      <c r="AC12" s="39"/>
      <c r="AD12" s="29"/>
      <c r="AE12" s="38"/>
      <c r="AF12" s="39"/>
      <c r="AG12" s="29"/>
      <c r="AH12" s="38"/>
      <c r="AI12" s="48">
        <v>1500</v>
      </c>
      <c r="AJ12" s="29" t="s">
        <v>426</v>
      </c>
      <c r="AK12" s="54">
        <v>339</v>
      </c>
      <c r="AL12" s="39"/>
      <c r="AM12" s="29"/>
      <c r="AN12" s="38"/>
      <c r="AO12" s="39"/>
      <c r="AP12" s="29"/>
      <c r="AQ12" s="38"/>
      <c r="AR12" s="39"/>
      <c r="AS12" s="29"/>
      <c r="AT12" s="38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3"/>
      <c r="BK12" s="63"/>
      <c r="BL12" s="63"/>
      <c r="BM12" s="63"/>
      <c r="BN12" s="63"/>
    </row>
    <row r="13" spans="1:66" ht="15">
      <c r="A13" s="90" t="s">
        <v>374</v>
      </c>
      <c r="B13" s="90" t="s">
        <v>375</v>
      </c>
      <c r="C13" s="90" t="s">
        <v>351</v>
      </c>
      <c r="D13" s="207" t="s">
        <v>376</v>
      </c>
      <c r="E13" s="207">
        <v>0</v>
      </c>
      <c r="F13" s="90"/>
      <c r="G13" s="90"/>
      <c r="H13" s="52"/>
      <c r="I13" s="29"/>
      <c r="J13" s="36"/>
      <c r="K13" s="35"/>
      <c r="L13" s="30"/>
      <c r="M13" s="36"/>
      <c r="N13" s="39"/>
      <c r="O13" s="29"/>
      <c r="P13" s="38"/>
      <c r="Q13" s="39"/>
      <c r="R13" s="29"/>
      <c r="S13" s="38"/>
      <c r="T13" s="39"/>
      <c r="U13" s="29"/>
      <c r="V13" s="54"/>
      <c r="W13" s="39"/>
      <c r="X13" s="29"/>
      <c r="Y13" s="38"/>
      <c r="Z13" s="34"/>
      <c r="AA13" s="29"/>
      <c r="AB13" s="38"/>
      <c r="AC13" s="39"/>
      <c r="AD13" s="29"/>
      <c r="AE13" s="38"/>
      <c r="AF13" s="39"/>
      <c r="AG13" s="29"/>
      <c r="AH13" s="38"/>
      <c r="AI13" s="48"/>
      <c r="AJ13" s="29"/>
      <c r="AK13" s="54"/>
      <c r="AL13" s="39"/>
      <c r="AM13" s="29"/>
      <c r="AN13" s="38"/>
      <c r="AO13" s="39"/>
      <c r="AP13" s="29"/>
      <c r="AQ13" s="38"/>
      <c r="AR13" s="39"/>
      <c r="AS13" s="29"/>
      <c r="AT13" s="38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3"/>
      <c r="BK13" s="63"/>
      <c r="BL13" s="63"/>
      <c r="BM13" s="63"/>
      <c r="BN13" s="63"/>
    </row>
    <row r="14" spans="1:66" ht="15">
      <c r="A14" s="4" t="s">
        <v>204</v>
      </c>
      <c r="B14" s="4" t="s">
        <v>205</v>
      </c>
      <c r="C14" s="4" t="s">
        <v>137</v>
      </c>
      <c r="D14" s="271"/>
      <c r="E14" s="273" t="s">
        <v>69</v>
      </c>
      <c r="F14" s="61"/>
      <c r="G14" s="59"/>
      <c r="H14" s="52"/>
      <c r="I14" s="30"/>
      <c r="J14" s="36"/>
      <c r="K14" s="35"/>
      <c r="L14" s="30"/>
      <c r="M14" s="36"/>
      <c r="N14" s="35"/>
      <c r="O14" s="30"/>
      <c r="P14" s="36"/>
      <c r="Q14" s="35">
        <v>5000</v>
      </c>
      <c r="R14" s="30" t="s">
        <v>206</v>
      </c>
      <c r="S14" s="36">
        <v>86</v>
      </c>
      <c r="T14" s="35"/>
      <c r="U14" s="30"/>
      <c r="V14" s="71"/>
      <c r="W14" s="35"/>
      <c r="X14" s="30"/>
      <c r="Y14" s="36"/>
      <c r="Z14" s="143">
        <v>10000</v>
      </c>
      <c r="AA14" s="30" t="s">
        <v>360</v>
      </c>
      <c r="AB14" s="36">
        <v>210</v>
      </c>
      <c r="AC14" s="35"/>
      <c r="AD14" s="30"/>
      <c r="AE14" s="36"/>
      <c r="AF14" s="35"/>
      <c r="AG14" s="30"/>
      <c r="AH14" s="36"/>
      <c r="AI14" s="52"/>
      <c r="AJ14" s="30"/>
      <c r="AK14" s="71"/>
      <c r="AL14" s="35"/>
      <c r="AM14" s="30"/>
      <c r="AN14" s="36"/>
      <c r="AO14" s="35"/>
      <c r="AP14" s="30"/>
      <c r="AQ14" s="36"/>
      <c r="AR14" s="35"/>
      <c r="AS14" s="30"/>
      <c r="AT14" s="36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3"/>
      <c r="BK14" s="63"/>
      <c r="BL14" s="63"/>
      <c r="BM14" s="63"/>
      <c r="BN14" s="63"/>
    </row>
    <row r="15" spans="1:66" ht="15">
      <c r="A15" s="90" t="s">
        <v>102</v>
      </c>
      <c r="B15" s="90" t="s">
        <v>103</v>
      </c>
      <c r="C15" s="90" t="s">
        <v>104</v>
      </c>
      <c r="D15" s="263"/>
      <c r="E15" s="207" t="s">
        <v>61</v>
      </c>
      <c r="F15" s="90"/>
      <c r="G15" s="91"/>
      <c r="H15" s="52">
        <v>800</v>
      </c>
      <c r="I15" s="29" t="s">
        <v>101</v>
      </c>
      <c r="J15" s="36">
        <v>121</v>
      </c>
      <c r="K15" s="35"/>
      <c r="L15" s="37"/>
      <c r="M15" s="36"/>
      <c r="N15" s="39"/>
      <c r="O15" s="29"/>
      <c r="P15" s="38"/>
      <c r="Q15" s="39"/>
      <c r="R15" s="29"/>
      <c r="S15" s="38"/>
      <c r="T15" s="39"/>
      <c r="U15" s="29"/>
      <c r="V15" s="54"/>
      <c r="W15" s="39">
        <v>1500</v>
      </c>
      <c r="X15" s="29" t="s">
        <v>267</v>
      </c>
      <c r="Y15" s="38">
        <v>40</v>
      </c>
      <c r="Z15" s="34"/>
      <c r="AA15" s="29"/>
      <c r="AB15" s="38"/>
      <c r="AC15" s="39"/>
      <c r="AD15" s="29"/>
      <c r="AE15" s="38"/>
      <c r="AF15" s="39"/>
      <c r="AG15" s="29"/>
      <c r="AH15" s="38"/>
      <c r="AI15" s="48"/>
      <c r="AJ15" s="29"/>
      <c r="AK15" s="54"/>
      <c r="AL15" s="39"/>
      <c r="AM15" s="29"/>
      <c r="AN15" s="38"/>
      <c r="AO15" s="39"/>
      <c r="AP15" s="29"/>
      <c r="AQ15" s="38"/>
      <c r="AR15" s="39"/>
      <c r="AS15" s="29"/>
      <c r="AT15" s="38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3"/>
      <c r="BK15" s="63"/>
      <c r="BL15" s="63"/>
      <c r="BM15" s="63"/>
      <c r="BN15" s="63"/>
    </row>
    <row r="16" spans="1:66" ht="15">
      <c r="A16" s="90" t="s">
        <v>147</v>
      </c>
      <c r="B16" s="90" t="s">
        <v>148</v>
      </c>
      <c r="C16" s="90" t="s">
        <v>145</v>
      </c>
      <c r="D16" s="263"/>
      <c r="E16" s="207" t="s">
        <v>69</v>
      </c>
      <c r="F16" s="90"/>
      <c r="G16" s="91"/>
      <c r="H16" s="52"/>
      <c r="I16" s="29"/>
      <c r="J16" s="36"/>
      <c r="K16" s="35">
        <v>1500</v>
      </c>
      <c r="L16" s="37" t="s">
        <v>146</v>
      </c>
      <c r="M16" s="36">
        <v>0</v>
      </c>
      <c r="N16" s="39"/>
      <c r="O16" s="29"/>
      <c r="P16" s="38"/>
      <c r="Q16" s="39">
        <v>5000</v>
      </c>
      <c r="R16" s="29" t="s">
        <v>216</v>
      </c>
      <c r="S16" s="38">
        <v>5</v>
      </c>
      <c r="T16" s="39"/>
      <c r="U16" s="29"/>
      <c r="V16" s="54"/>
      <c r="W16" s="39"/>
      <c r="X16" s="29"/>
      <c r="Y16" s="38"/>
      <c r="Z16" s="34">
        <v>10000</v>
      </c>
      <c r="AA16" s="29" t="s">
        <v>377</v>
      </c>
      <c r="AB16" s="38">
        <v>23</v>
      </c>
      <c r="AC16" s="39"/>
      <c r="AD16" s="29"/>
      <c r="AE16" s="38"/>
      <c r="AF16" s="39">
        <v>1500</v>
      </c>
      <c r="AG16" s="29" t="s">
        <v>406</v>
      </c>
      <c r="AH16" s="38">
        <v>4</v>
      </c>
      <c r="AI16" s="48"/>
      <c r="AJ16" s="29"/>
      <c r="AK16" s="54"/>
      <c r="AL16" s="39"/>
      <c r="AM16" s="29"/>
      <c r="AN16" s="38"/>
      <c r="AO16" s="39"/>
      <c r="AP16" s="29"/>
      <c r="AQ16" s="38"/>
      <c r="AR16" s="39"/>
      <c r="AS16" s="29"/>
      <c r="AT16" s="38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3"/>
      <c r="BK16" s="63"/>
      <c r="BL16" s="63"/>
      <c r="BM16" s="63"/>
      <c r="BN16" s="63"/>
    </row>
    <row r="17" spans="1:66" ht="15">
      <c r="A17" s="90" t="s">
        <v>155</v>
      </c>
      <c r="B17" s="90" t="s">
        <v>156</v>
      </c>
      <c r="C17" s="90" t="s">
        <v>145</v>
      </c>
      <c r="D17" s="263"/>
      <c r="E17" s="207" t="s">
        <v>11</v>
      </c>
      <c r="F17" s="90"/>
      <c r="G17" s="91"/>
      <c r="H17" s="52"/>
      <c r="I17" s="29"/>
      <c r="J17" s="36"/>
      <c r="K17" s="35"/>
      <c r="L17" s="37"/>
      <c r="M17" s="36"/>
      <c r="N17" s="39"/>
      <c r="O17" s="29"/>
      <c r="P17" s="38"/>
      <c r="Q17" s="39">
        <v>5000</v>
      </c>
      <c r="R17" s="29" t="s">
        <v>212</v>
      </c>
      <c r="S17" s="38">
        <v>315</v>
      </c>
      <c r="T17" s="39"/>
      <c r="U17" s="29"/>
      <c r="V17" s="54"/>
      <c r="W17" s="39">
        <v>5000</v>
      </c>
      <c r="X17" s="29" t="s">
        <v>281</v>
      </c>
      <c r="Y17" s="38">
        <v>348</v>
      </c>
      <c r="Z17" s="34"/>
      <c r="AA17" s="29"/>
      <c r="AB17" s="38"/>
      <c r="AC17" s="39"/>
      <c r="AD17" s="29"/>
      <c r="AE17" s="38"/>
      <c r="AF17" s="39"/>
      <c r="AG17" s="29"/>
      <c r="AH17" s="38"/>
      <c r="AI17" s="48"/>
      <c r="AJ17" s="29"/>
      <c r="AK17" s="54"/>
      <c r="AL17" s="39"/>
      <c r="AM17" s="29"/>
      <c r="AN17" s="38"/>
      <c r="AO17" s="39"/>
      <c r="AP17" s="29"/>
      <c r="AQ17" s="38"/>
      <c r="AR17" s="39"/>
      <c r="AS17" s="29"/>
      <c r="AT17" s="38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3"/>
      <c r="BK17" s="63"/>
      <c r="BL17" s="63"/>
      <c r="BM17" s="63"/>
      <c r="BN17" s="63"/>
    </row>
    <row r="18" spans="1:66" ht="15">
      <c r="A18" s="90" t="s">
        <v>85</v>
      </c>
      <c r="B18" s="90" t="s">
        <v>86</v>
      </c>
      <c r="C18" s="90" t="s">
        <v>52</v>
      </c>
      <c r="D18" s="207"/>
      <c r="E18" s="207" t="s">
        <v>87</v>
      </c>
      <c r="F18" s="90"/>
      <c r="G18" s="90"/>
      <c r="H18" s="52">
        <v>800</v>
      </c>
      <c r="I18" s="29" t="s">
        <v>108</v>
      </c>
      <c r="J18" s="36">
        <v>0</v>
      </c>
      <c r="K18" s="39">
        <v>1500</v>
      </c>
      <c r="L18" s="29" t="s">
        <v>149</v>
      </c>
      <c r="M18" s="40">
        <v>0</v>
      </c>
      <c r="N18" s="39"/>
      <c r="O18" s="29"/>
      <c r="P18" s="38"/>
      <c r="Q18" s="39"/>
      <c r="R18" s="29"/>
      <c r="S18" s="38"/>
      <c r="T18" s="39"/>
      <c r="U18" s="29"/>
      <c r="V18" s="54"/>
      <c r="W18" s="39"/>
      <c r="X18" s="29"/>
      <c r="Y18" s="38"/>
      <c r="Z18" s="34"/>
      <c r="AA18" s="29"/>
      <c r="AB18" s="38"/>
      <c r="AC18" s="39"/>
      <c r="AD18" s="29"/>
      <c r="AE18" s="38"/>
      <c r="AF18" s="39"/>
      <c r="AG18" s="29"/>
      <c r="AH18" s="38"/>
      <c r="AI18" s="48"/>
      <c r="AJ18" s="29"/>
      <c r="AK18" s="54"/>
      <c r="AL18" s="39"/>
      <c r="AM18" s="29"/>
      <c r="AN18" s="38"/>
      <c r="AO18" s="39"/>
      <c r="AP18" s="29"/>
      <c r="AQ18" s="38"/>
      <c r="AR18" s="39"/>
      <c r="AS18" s="29"/>
      <c r="AT18" s="38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3"/>
      <c r="BK18" s="63"/>
      <c r="BL18" s="63"/>
      <c r="BM18" s="63"/>
      <c r="BN18" s="63"/>
    </row>
    <row r="19" spans="1:66" ht="15">
      <c r="A19" s="90" t="s">
        <v>119</v>
      </c>
      <c r="B19" s="90" t="s">
        <v>113</v>
      </c>
      <c r="C19" s="90" t="s">
        <v>35</v>
      </c>
      <c r="D19" s="207"/>
      <c r="E19" s="207" t="s">
        <v>69</v>
      </c>
      <c r="F19" s="90"/>
      <c r="G19" s="90"/>
      <c r="H19" s="52"/>
      <c r="I19" s="29"/>
      <c r="J19" s="36"/>
      <c r="K19" s="39">
        <v>1500</v>
      </c>
      <c r="L19" s="29" t="s">
        <v>120</v>
      </c>
      <c r="M19" s="40">
        <v>373</v>
      </c>
      <c r="N19" s="39"/>
      <c r="O19" s="29"/>
      <c r="P19" s="38"/>
      <c r="Q19" s="39">
        <v>3000</v>
      </c>
      <c r="R19" s="29" t="s">
        <v>178</v>
      </c>
      <c r="S19" s="38">
        <v>378</v>
      </c>
      <c r="T19" s="39"/>
      <c r="U19" s="29"/>
      <c r="V19" s="54"/>
      <c r="W19" s="39"/>
      <c r="X19" s="29"/>
      <c r="Y19" s="38"/>
      <c r="Z19" s="34"/>
      <c r="AA19" s="29"/>
      <c r="AB19" s="38"/>
      <c r="AC19" s="39">
        <v>3000</v>
      </c>
      <c r="AD19" s="29" t="s">
        <v>390</v>
      </c>
      <c r="AE19" s="38">
        <v>371</v>
      </c>
      <c r="AF19" s="39">
        <v>800</v>
      </c>
      <c r="AG19" s="29" t="s">
        <v>411</v>
      </c>
      <c r="AH19" s="38">
        <v>498</v>
      </c>
      <c r="AI19" s="48">
        <v>1500</v>
      </c>
      <c r="AJ19" s="29" t="s">
        <v>424</v>
      </c>
      <c r="AK19" s="54">
        <v>438</v>
      </c>
      <c r="AL19" s="39"/>
      <c r="AM19" s="29"/>
      <c r="AN19" s="38"/>
      <c r="AO19" s="39"/>
      <c r="AP19" s="29"/>
      <c r="AQ19" s="38"/>
      <c r="AR19" s="39"/>
      <c r="AS19" s="29"/>
      <c r="AT19" s="3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3"/>
      <c r="BK19" s="63"/>
      <c r="BL19" s="63"/>
      <c r="BM19" s="63"/>
      <c r="BN19" s="63"/>
    </row>
    <row r="20" spans="1:66" ht="15">
      <c r="A20" s="90" t="s">
        <v>207</v>
      </c>
      <c r="B20" s="90" t="s">
        <v>208</v>
      </c>
      <c r="C20" s="90" t="s">
        <v>137</v>
      </c>
      <c r="D20" s="207"/>
      <c r="E20" s="207" t="s">
        <v>69</v>
      </c>
      <c r="F20" s="90"/>
      <c r="G20" s="90"/>
      <c r="H20" s="52"/>
      <c r="I20" s="29"/>
      <c r="J20" s="36"/>
      <c r="M20" s="40"/>
      <c r="N20" s="39"/>
      <c r="O20" s="29"/>
      <c r="P20" s="38"/>
      <c r="Q20" s="39">
        <v>5000</v>
      </c>
      <c r="R20" s="29" t="s">
        <v>209</v>
      </c>
      <c r="S20" s="38">
        <v>81</v>
      </c>
      <c r="T20" s="39"/>
      <c r="U20" s="29"/>
      <c r="V20" s="54"/>
      <c r="W20" s="39"/>
      <c r="X20" s="29"/>
      <c r="Y20" s="38"/>
      <c r="Z20" s="34"/>
      <c r="AA20" s="29"/>
      <c r="AB20" s="38"/>
      <c r="AC20" s="39"/>
      <c r="AD20" s="29"/>
      <c r="AE20" s="38"/>
      <c r="AF20" s="39"/>
      <c r="AG20" s="29"/>
      <c r="AH20" s="38"/>
      <c r="AI20" s="48"/>
      <c r="AJ20" s="29"/>
      <c r="AK20" s="54"/>
      <c r="AL20" s="39"/>
      <c r="AM20" s="29"/>
      <c r="AN20" s="38"/>
      <c r="AO20" s="39"/>
      <c r="AP20" s="29"/>
      <c r="AQ20" s="38"/>
      <c r="AR20" s="39"/>
      <c r="AS20" s="29"/>
      <c r="AT20" s="38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3"/>
      <c r="BK20" s="63"/>
      <c r="BL20" s="63"/>
      <c r="BM20" s="63"/>
      <c r="BN20" s="63"/>
    </row>
    <row r="21" spans="1:66" ht="15">
      <c r="A21" s="90" t="s">
        <v>290</v>
      </c>
      <c r="B21" s="90" t="s">
        <v>74</v>
      </c>
      <c r="C21" s="90" t="s">
        <v>291</v>
      </c>
      <c r="D21" s="207"/>
      <c r="E21" s="207" t="s">
        <v>61</v>
      </c>
      <c r="F21" s="90"/>
      <c r="G21" s="90"/>
      <c r="H21" s="52"/>
      <c r="I21" s="29"/>
      <c r="J21" s="36"/>
      <c r="M21" s="40"/>
      <c r="N21" s="39"/>
      <c r="O21" s="29"/>
      <c r="P21" s="38"/>
      <c r="Q21" s="39"/>
      <c r="R21" s="29"/>
      <c r="S21" s="38"/>
      <c r="T21" s="39"/>
      <c r="U21" s="29"/>
      <c r="V21" s="54"/>
      <c r="W21" s="39">
        <v>5000</v>
      </c>
      <c r="X21" s="29" t="s">
        <v>292</v>
      </c>
      <c r="Y21" s="38">
        <v>145</v>
      </c>
      <c r="Z21" s="34"/>
      <c r="AA21" s="29"/>
      <c r="AB21" s="38"/>
      <c r="AC21" s="39"/>
      <c r="AD21" s="29"/>
      <c r="AE21" s="38"/>
      <c r="AF21" s="39"/>
      <c r="AG21" s="29"/>
      <c r="AH21" s="38"/>
      <c r="AI21" s="48"/>
      <c r="AJ21" s="29"/>
      <c r="AK21" s="54"/>
      <c r="AL21" s="39"/>
      <c r="AM21" s="29"/>
      <c r="AN21" s="38"/>
      <c r="AO21" s="39"/>
      <c r="AP21" s="29"/>
      <c r="AQ21" s="38"/>
      <c r="AR21" s="39"/>
      <c r="AS21" s="29"/>
      <c r="AT21" s="38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3"/>
      <c r="BK21" s="63"/>
      <c r="BL21" s="63"/>
      <c r="BM21" s="63"/>
      <c r="BN21" s="63"/>
    </row>
    <row r="22" spans="1:66" ht="15">
      <c r="A22" s="90" t="s">
        <v>140</v>
      </c>
      <c r="B22" s="90" t="s">
        <v>141</v>
      </c>
      <c r="C22" s="90" t="s">
        <v>137</v>
      </c>
      <c r="D22" s="207"/>
      <c r="E22" s="207" t="s">
        <v>89</v>
      </c>
      <c r="F22" s="90"/>
      <c r="G22" s="90"/>
      <c r="H22" s="52">
        <v>3000</v>
      </c>
      <c r="I22" s="29" t="s">
        <v>320</v>
      </c>
      <c r="J22" s="36">
        <v>8</v>
      </c>
      <c r="K22" s="31">
        <v>1500</v>
      </c>
      <c r="L22" s="31" t="s">
        <v>142</v>
      </c>
      <c r="M22" s="40">
        <v>0</v>
      </c>
      <c r="N22" s="39"/>
      <c r="O22" s="29"/>
      <c r="P22" s="38"/>
      <c r="Q22" s="39"/>
      <c r="R22" s="29"/>
      <c r="S22" s="38"/>
      <c r="T22" s="39"/>
      <c r="U22" s="29"/>
      <c r="V22" s="54"/>
      <c r="W22" s="39"/>
      <c r="X22" s="29"/>
      <c r="Y22" s="38"/>
      <c r="Z22" s="34"/>
      <c r="AA22" s="29"/>
      <c r="AB22" s="38"/>
      <c r="AC22" s="39"/>
      <c r="AD22" s="29"/>
      <c r="AE22" s="38"/>
      <c r="AF22" s="39"/>
      <c r="AG22" s="29"/>
      <c r="AH22" s="38"/>
      <c r="AI22" s="48"/>
      <c r="AJ22" s="29"/>
      <c r="AK22" s="54"/>
      <c r="AL22" s="39"/>
      <c r="AM22" s="29"/>
      <c r="AN22" s="38"/>
      <c r="AO22" s="39"/>
      <c r="AP22" s="29"/>
      <c r="AQ22" s="38"/>
      <c r="AR22" s="39"/>
      <c r="AS22" s="29"/>
      <c r="AT22" s="38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3"/>
      <c r="BK22" s="63"/>
      <c r="BL22" s="63"/>
      <c r="BM22" s="63"/>
      <c r="BN22" s="63"/>
    </row>
    <row r="23" spans="1:66" ht="15">
      <c r="A23" s="90" t="s">
        <v>287</v>
      </c>
      <c r="B23" s="90" t="s">
        <v>288</v>
      </c>
      <c r="C23" s="90" t="s">
        <v>38</v>
      </c>
      <c r="D23" s="207"/>
      <c r="E23" s="207" t="s">
        <v>11</v>
      </c>
      <c r="F23" s="90"/>
      <c r="G23" s="90"/>
      <c r="H23" s="52"/>
      <c r="I23" s="29"/>
      <c r="J23" s="36"/>
      <c r="M23" s="40"/>
      <c r="N23" s="39"/>
      <c r="O23" s="29"/>
      <c r="P23" s="38"/>
      <c r="Q23" s="39"/>
      <c r="R23" s="29"/>
      <c r="S23" s="38"/>
      <c r="T23" s="39"/>
      <c r="U23" s="29"/>
      <c r="V23" s="54"/>
      <c r="W23" s="39">
        <v>5000</v>
      </c>
      <c r="X23" s="29" t="s">
        <v>289</v>
      </c>
      <c r="Y23" s="38">
        <v>264</v>
      </c>
      <c r="Z23" s="34"/>
      <c r="AA23" s="29"/>
      <c r="AB23" s="38"/>
      <c r="AC23" s="39"/>
      <c r="AD23" s="29"/>
      <c r="AE23" s="38"/>
      <c r="AF23" s="39"/>
      <c r="AG23" s="29"/>
      <c r="AH23" s="38"/>
      <c r="AI23" s="48"/>
      <c r="AJ23" s="29"/>
      <c r="AK23" s="54"/>
      <c r="AL23" s="39"/>
      <c r="AM23" s="29"/>
      <c r="AN23" s="38"/>
      <c r="AO23" s="39"/>
      <c r="AP23" s="29"/>
      <c r="AQ23" s="38"/>
      <c r="AR23" s="39"/>
      <c r="AS23" s="29"/>
      <c r="AT23" s="38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3"/>
      <c r="BK23" s="63"/>
      <c r="BL23" s="63"/>
      <c r="BM23" s="63"/>
      <c r="BN23" s="63"/>
    </row>
    <row r="24" spans="1:66" ht="15">
      <c r="A24" s="90" t="s">
        <v>202</v>
      </c>
      <c r="B24" s="90" t="s">
        <v>210</v>
      </c>
      <c r="C24" s="90" t="s">
        <v>145</v>
      </c>
      <c r="D24" s="207"/>
      <c r="E24" s="207" t="s">
        <v>17</v>
      </c>
      <c r="F24" s="90"/>
      <c r="G24" s="90"/>
      <c r="H24" s="52"/>
      <c r="I24" s="29"/>
      <c r="J24" s="36"/>
      <c r="M24" s="40"/>
      <c r="N24" s="39"/>
      <c r="O24" s="29"/>
      <c r="P24" s="38"/>
      <c r="Q24" s="39">
        <v>5000</v>
      </c>
      <c r="R24" s="29" t="s">
        <v>211</v>
      </c>
      <c r="S24" s="38">
        <v>558</v>
      </c>
      <c r="T24" s="39"/>
      <c r="U24" s="29"/>
      <c r="V24" s="54"/>
      <c r="W24" s="39"/>
      <c r="X24" s="29"/>
      <c r="Y24" s="38"/>
      <c r="Z24" s="34">
        <v>10000</v>
      </c>
      <c r="AA24" s="29" t="s">
        <v>369</v>
      </c>
      <c r="AB24" s="38">
        <v>524</v>
      </c>
      <c r="AC24" s="39"/>
      <c r="AD24" s="29"/>
      <c r="AE24" s="38"/>
      <c r="AF24" s="39"/>
      <c r="AG24" s="29"/>
      <c r="AH24" s="38"/>
      <c r="AI24" s="48"/>
      <c r="AJ24" s="29"/>
      <c r="AK24" s="54"/>
      <c r="AL24" s="39"/>
      <c r="AM24" s="29"/>
      <c r="AN24" s="38"/>
      <c r="AO24" s="39"/>
      <c r="AP24" s="29"/>
      <c r="AQ24" s="38"/>
      <c r="AR24" s="39"/>
      <c r="AS24" s="29"/>
      <c r="AT24" s="38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3"/>
      <c r="BK24" s="63"/>
      <c r="BL24" s="63"/>
      <c r="BM24" s="63"/>
      <c r="BN24" s="63"/>
    </row>
    <row r="25" spans="1:66" ht="15">
      <c r="A25" s="90" t="s">
        <v>202</v>
      </c>
      <c r="B25" s="90" t="s">
        <v>127</v>
      </c>
      <c r="C25" s="90" t="s">
        <v>137</v>
      </c>
      <c r="D25" s="207"/>
      <c r="E25" s="207" t="s">
        <v>17</v>
      </c>
      <c r="F25" s="90"/>
      <c r="G25" s="90"/>
      <c r="H25" s="52"/>
      <c r="I25" s="29"/>
      <c r="J25" s="36"/>
      <c r="M25" s="40"/>
      <c r="N25" s="39"/>
      <c r="O25" s="29"/>
      <c r="P25" s="38"/>
      <c r="Q25" s="39">
        <v>5000</v>
      </c>
      <c r="R25" s="29" t="s">
        <v>203</v>
      </c>
      <c r="S25" s="38">
        <v>87</v>
      </c>
      <c r="T25" s="39"/>
      <c r="U25" s="29"/>
      <c r="V25" s="54"/>
      <c r="W25" s="39"/>
      <c r="X25" s="29"/>
      <c r="Y25" s="38"/>
      <c r="Z25" s="34">
        <v>10000</v>
      </c>
      <c r="AA25" s="29" t="s">
        <v>364</v>
      </c>
      <c r="AB25" s="38">
        <v>132</v>
      </c>
      <c r="AC25" s="39"/>
      <c r="AD25" s="29"/>
      <c r="AE25" s="38"/>
      <c r="AF25" s="39"/>
      <c r="AG25" s="29"/>
      <c r="AH25" s="38"/>
      <c r="AI25" s="48"/>
      <c r="AJ25" s="29"/>
      <c r="AK25" s="54"/>
      <c r="AL25" s="39"/>
      <c r="AM25" s="29"/>
      <c r="AN25" s="38"/>
      <c r="AO25" s="39"/>
      <c r="AP25" s="29"/>
      <c r="AQ25" s="38"/>
      <c r="AR25" s="39"/>
      <c r="AS25" s="29"/>
      <c r="AT25" s="38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3"/>
      <c r="BK25" s="63"/>
      <c r="BL25" s="63"/>
      <c r="BM25" s="63"/>
      <c r="BN25" s="63"/>
    </row>
    <row r="26" spans="1:66" ht="15">
      <c r="A26" s="90" t="s">
        <v>197</v>
      </c>
      <c r="B26" s="90" t="s">
        <v>198</v>
      </c>
      <c r="C26" s="90" t="s">
        <v>59</v>
      </c>
      <c r="D26" s="207"/>
      <c r="E26" s="207" t="s">
        <v>17</v>
      </c>
      <c r="F26" s="90"/>
      <c r="G26" s="90"/>
      <c r="H26" s="52"/>
      <c r="I26" s="29"/>
      <c r="J26" s="36"/>
      <c r="K26" s="39"/>
      <c r="L26" s="29"/>
      <c r="M26" s="40"/>
      <c r="N26" s="39"/>
      <c r="O26" s="29"/>
      <c r="P26" s="38"/>
      <c r="Q26" s="39">
        <v>5000</v>
      </c>
      <c r="R26" s="29" t="s">
        <v>199</v>
      </c>
      <c r="S26" s="38">
        <v>131</v>
      </c>
      <c r="T26" s="39"/>
      <c r="U26" s="29"/>
      <c r="V26" s="54"/>
      <c r="W26" s="39"/>
      <c r="X26" s="29"/>
      <c r="Y26" s="38"/>
      <c r="Z26" s="34"/>
      <c r="AA26" s="29"/>
      <c r="AB26" s="38"/>
      <c r="AC26" s="39"/>
      <c r="AD26" s="29"/>
      <c r="AE26" s="38"/>
      <c r="AF26" s="39"/>
      <c r="AG26" s="29"/>
      <c r="AH26" s="38"/>
      <c r="AI26" s="48"/>
      <c r="AJ26" s="29"/>
      <c r="AK26" s="54"/>
      <c r="AL26" s="39"/>
      <c r="AM26" s="29"/>
      <c r="AN26" s="38"/>
      <c r="AO26" s="39"/>
      <c r="AP26" s="29"/>
      <c r="AQ26" s="38"/>
      <c r="AR26" s="39"/>
      <c r="AS26" s="29"/>
      <c r="AT26" s="38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3"/>
      <c r="BK26" s="63"/>
      <c r="BL26" s="63"/>
      <c r="BM26" s="63"/>
      <c r="BN26" s="63"/>
    </row>
    <row r="27" spans="1:66" ht="15">
      <c r="A27" s="90" t="s">
        <v>135</v>
      </c>
      <c r="B27" s="90" t="s">
        <v>136</v>
      </c>
      <c r="C27" s="90" t="s">
        <v>137</v>
      </c>
      <c r="D27" s="207"/>
      <c r="E27" s="207" t="s">
        <v>89</v>
      </c>
      <c r="F27" s="90"/>
      <c r="G27" s="90"/>
      <c r="H27" s="52">
        <v>3000</v>
      </c>
      <c r="I27" s="29" t="s">
        <v>319</v>
      </c>
      <c r="J27" s="36">
        <v>74</v>
      </c>
      <c r="K27" s="39">
        <v>1500</v>
      </c>
      <c r="L27" s="29" t="s">
        <v>138</v>
      </c>
      <c r="M27" s="40">
        <v>138</v>
      </c>
      <c r="N27" s="39">
        <v>1500</v>
      </c>
      <c r="O27" s="29" t="s">
        <v>167</v>
      </c>
      <c r="P27" s="38">
        <v>226</v>
      </c>
      <c r="Q27" s="39"/>
      <c r="R27" s="29"/>
      <c r="S27" s="38"/>
      <c r="T27" s="39"/>
      <c r="U27" s="29"/>
      <c r="V27" s="54"/>
      <c r="W27" s="39"/>
      <c r="X27" s="29"/>
      <c r="Y27" s="38"/>
      <c r="Z27" s="34">
        <v>10000</v>
      </c>
      <c r="AA27" s="29" t="s">
        <v>370</v>
      </c>
      <c r="AB27" s="38">
        <v>38</v>
      </c>
      <c r="AC27" s="39"/>
      <c r="AD27" s="29"/>
      <c r="AE27" s="38"/>
      <c r="AF27" s="39"/>
      <c r="AG27" s="29"/>
      <c r="AH27" s="38"/>
      <c r="AI27" s="48"/>
      <c r="AJ27" s="29"/>
      <c r="AK27" s="54"/>
      <c r="AL27" s="39"/>
      <c r="AM27" s="29"/>
      <c r="AN27" s="38"/>
      <c r="AO27" s="39"/>
      <c r="AP27" s="29"/>
      <c r="AQ27" s="38"/>
      <c r="AR27" s="39"/>
      <c r="AS27" s="29"/>
      <c r="AT27" s="38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3"/>
      <c r="BK27" s="63"/>
      <c r="BL27" s="63"/>
      <c r="BM27" s="63"/>
      <c r="BN27" s="63"/>
    </row>
    <row r="28" spans="1:66" ht="15">
      <c r="A28" s="90" t="s">
        <v>162</v>
      </c>
      <c r="B28" s="90" t="s">
        <v>163</v>
      </c>
      <c r="C28" s="90" t="s">
        <v>159</v>
      </c>
      <c r="D28" s="207"/>
      <c r="E28" s="207" t="s">
        <v>17</v>
      </c>
      <c r="F28" s="90"/>
      <c r="G28" s="90"/>
      <c r="H28" s="52"/>
      <c r="I28" s="29"/>
      <c r="J28" s="36"/>
      <c r="K28" s="39"/>
      <c r="L28" s="29"/>
      <c r="M28" s="40"/>
      <c r="N28" s="39">
        <v>1500</v>
      </c>
      <c r="O28" s="29" t="s">
        <v>164</v>
      </c>
      <c r="P28" s="38">
        <v>282</v>
      </c>
      <c r="Q28" s="39"/>
      <c r="R28" s="29"/>
      <c r="S28" s="38"/>
      <c r="T28" s="39"/>
      <c r="U28" s="29"/>
      <c r="V28" s="54"/>
      <c r="Y28" s="38"/>
      <c r="Z28" s="34"/>
      <c r="AA28" s="29"/>
      <c r="AB28" s="38"/>
      <c r="AC28" s="39"/>
      <c r="AD28" s="29"/>
      <c r="AE28" s="38"/>
      <c r="AF28" s="39"/>
      <c r="AG28" s="29"/>
      <c r="AH28" s="38"/>
      <c r="AI28" s="48"/>
      <c r="AJ28" s="29"/>
      <c r="AK28" s="54"/>
      <c r="AL28" s="39"/>
      <c r="AM28" s="29"/>
      <c r="AN28" s="38"/>
      <c r="AO28" s="39"/>
      <c r="AP28" s="29"/>
      <c r="AQ28" s="38"/>
      <c r="AR28" s="39"/>
      <c r="AS28" s="29"/>
      <c r="AT28" s="38"/>
      <c r="AU28">
        <f>COUNTA(AT28,AQ28,AN28,AK28,AH28,AE28,AB28,Y28,V28,S28,P28,M28,J28)</f>
        <v>1</v>
      </c>
      <c r="AV28" s="65">
        <f>J28</f>
        <v>0</v>
      </c>
      <c r="AW28" s="65">
        <f>M28</f>
        <v>0</v>
      </c>
      <c r="AX28" s="65">
        <f>P28</f>
        <v>282</v>
      </c>
      <c r="AY28" s="65">
        <f>S28</f>
        <v>0</v>
      </c>
      <c r="AZ28" s="65">
        <f>V28</f>
        <v>0</v>
      </c>
      <c r="BA28" s="65">
        <f>Y28</f>
        <v>0</v>
      </c>
      <c r="BB28" s="65">
        <f>AB28</f>
        <v>0</v>
      </c>
      <c r="BC28" s="65">
        <f>AE28</f>
        <v>0</v>
      </c>
      <c r="BD28" s="65">
        <f>AH28</f>
        <v>0</v>
      </c>
      <c r="BE28" s="65">
        <f>AK28</f>
        <v>0</v>
      </c>
      <c r="BF28" s="65">
        <f>AN28</f>
        <v>0</v>
      </c>
      <c r="BG28" s="65">
        <f>AQ28</f>
        <v>0</v>
      </c>
      <c r="BH28" s="65">
        <f>AT28</f>
        <v>0</v>
      </c>
      <c r="BI28" s="65"/>
      <c r="BJ28" s="63">
        <f>LARGE(AV28:BI28,1)</f>
        <v>282</v>
      </c>
      <c r="BK28" s="63">
        <f>LARGE(AV28:BI28,2)</f>
        <v>0</v>
      </c>
      <c r="BL28" s="63">
        <f>LARGE(AV28:BI28,3)</f>
        <v>0</v>
      </c>
      <c r="BM28" s="63">
        <f>LARGE(AV28:BI28,4)</f>
        <v>0</v>
      </c>
      <c r="BN28" s="63">
        <f>LARGE(AV28:BI28,5)</f>
        <v>0</v>
      </c>
    </row>
    <row r="29" spans="1:66" ht="15">
      <c r="A29" s="90" t="s">
        <v>274</v>
      </c>
      <c r="B29" s="90" t="s">
        <v>275</v>
      </c>
      <c r="C29" s="216" t="s">
        <v>137</v>
      </c>
      <c r="D29" s="272"/>
      <c r="E29" s="207" t="s">
        <v>11</v>
      </c>
      <c r="F29" s="90"/>
      <c r="G29" s="90"/>
      <c r="H29" s="52"/>
      <c r="I29" s="29"/>
      <c r="J29" s="36"/>
      <c r="K29" s="39"/>
      <c r="L29" s="29"/>
      <c r="M29" s="40"/>
      <c r="N29" s="39"/>
      <c r="O29" s="29"/>
      <c r="P29" s="38"/>
      <c r="Q29" s="39"/>
      <c r="R29" s="29"/>
      <c r="S29" s="38"/>
      <c r="T29" s="39"/>
      <c r="U29" s="29"/>
      <c r="V29" s="54"/>
      <c r="W29" s="39">
        <v>5000</v>
      </c>
      <c r="X29" s="29" t="s">
        <v>276</v>
      </c>
      <c r="Y29" s="38">
        <v>74</v>
      </c>
      <c r="Z29" s="34">
        <v>10000</v>
      </c>
      <c r="AA29" s="29" t="s">
        <v>363</v>
      </c>
      <c r="AB29" s="38">
        <v>144</v>
      </c>
      <c r="AC29" s="39">
        <v>1500</v>
      </c>
      <c r="AD29" s="29" t="s">
        <v>396</v>
      </c>
      <c r="AE29" s="38">
        <v>72</v>
      </c>
      <c r="AF29" s="39"/>
      <c r="AG29" s="29"/>
      <c r="AH29" s="38"/>
      <c r="AI29" s="48"/>
      <c r="AJ29" s="29"/>
      <c r="AK29" s="54"/>
      <c r="AL29" s="39"/>
      <c r="AM29" s="29"/>
      <c r="AN29" s="38"/>
      <c r="AO29" s="39"/>
      <c r="AP29" s="29"/>
      <c r="AQ29" s="38"/>
      <c r="AR29" s="39"/>
      <c r="AS29" s="29"/>
      <c r="AT29" s="38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3"/>
      <c r="BK29" s="63"/>
      <c r="BL29" s="63"/>
      <c r="BM29" s="63"/>
      <c r="BN29" s="63"/>
    </row>
    <row r="30" spans="1:66" ht="15">
      <c r="A30" s="90" t="s">
        <v>213</v>
      </c>
      <c r="B30" s="90" t="s">
        <v>214</v>
      </c>
      <c r="C30" s="216" t="s">
        <v>137</v>
      </c>
      <c r="D30" s="272"/>
      <c r="E30" s="207" t="s">
        <v>69</v>
      </c>
      <c r="F30" s="90"/>
      <c r="G30" s="90"/>
      <c r="H30" s="52"/>
      <c r="I30" s="29"/>
      <c r="J30" s="36"/>
      <c r="K30" s="39"/>
      <c r="L30" s="29"/>
      <c r="M30" s="40"/>
      <c r="N30" s="39"/>
      <c r="O30" s="29"/>
      <c r="P30" s="38"/>
      <c r="Q30" s="39">
        <v>5000</v>
      </c>
      <c r="R30" s="29" t="s">
        <v>215</v>
      </c>
      <c r="S30" s="38">
        <v>0</v>
      </c>
      <c r="T30" s="39"/>
      <c r="U30" s="29"/>
      <c r="V30" s="54"/>
      <c r="W30" s="39"/>
      <c r="X30" s="29"/>
      <c r="Y30" s="38"/>
      <c r="Z30" s="34"/>
      <c r="AA30" s="29"/>
      <c r="AB30" s="38"/>
      <c r="AC30" s="39"/>
      <c r="AD30" s="29"/>
      <c r="AE30" s="38"/>
      <c r="AF30" s="39"/>
      <c r="AG30" s="29"/>
      <c r="AH30" s="38"/>
      <c r="AI30" s="48"/>
      <c r="AJ30" s="29"/>
      <c r="AK30" s="54"/>
      <c r="AL30" s="39"/>
      <c r="AM30" s="29"/>
      <c r="AN30" s="38"/>
      <c r="AO30" s="39"/>
      <c r="AP30" s="29"/>
      <c r="AQ30" s="38"/>
      <c r="AR30" s="39"/>
      <c r="AS30" s="29"/>
      <c r="AT30" s="3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3"/>
      <c r="BK30" s="63"/>
      <c r="BL30" s="63"/>
      <c r="BM30" s="63"/>
      <c r="BN30" s="63"/>
    </row>
    <row r="31" spans="1:66" ht="15">
      <c r="A31" s="90" t="s">
        <v>361</v>
      </c>
      <c r="B31" s="90" t="s">
        <v>200</v>
      </c>
      <c r="C31" s="216" t="s">
        <v>137</v>
      </c>
      <c r="D31" s="272"/>
      <c r="E31" s="207" t="s">
        <v>61</v>
      </c>
      <c r="F31" s="90"/>
      <c r="G31" s="90"/>
      <c r="H31" s="52"/>
      <c r="I31" s="29"/>
      <c r="J31" s="36"/>
      <c r="K31" s="39"/>
      <c r="L31" s="29"/>
      <c r="M31" s="40"/>
      <c r="N31" s="39"/>
      <c r="O31" s="29"/>
      <c r="P31" s="38"/>
      <c r="Q31" s="39">
        <v>5000</v>
      </c>
      <c r="R31" s="29" t="s">
        <v>201</v>
      </c>
      <c r="S31" s="38">
        <v>100</v>
      </c>
      <c r="T31" s="39"/>
      <c r="U31" s="29"/>
      <c r="V31" s="54"/>
      <c r="W31" s="39"/>
      <c r="X31" s="29"/>
      <c r="Y31" s="38"/>
      <c r="Z31" s="34">
        <v>10000</v>
      </c>
      <c r="AA31" s="29" t="s">
        <v>362</v>
      </c>
      <c r="AB31" s="38">
        <v>152</v>
      </c>
      <c r="AC31" s="39"/>
      <c r="AD31" s="29"/>
      <c r="AE31" s="38"/>
      <c r="AF31" s="39"/>
      <c r="AG31" s="29"/>
      <c r="AH31" s="38"/>
      <c r="AI31" s="48"/>
      <c r="AJ31" s="29"/>
      <c r="AK31" s="54"/>
      <c r="AL31" s="39"/>
      <c r="AM31" s="29"/>
      <c r="AN31" s="38"/>
      <c r="AO31" s="39"/>
      <c r="AP31" s="29"/>
      <c r="AQ31" s="38"/>
      <c r="AR31" s="39"/>
      <c r="AS31" s="29"/>
      <c r="AT31" s="38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3"/>
      <c r="BK31" s="63"/>
      <c r="BL31" s="63"/>
      <c r="BM31" s="63"/>
      <c r="BN31" s="63"/>
    </row>
    <row r="32" spans="1:66" ht="15">
      <c r="A32" s="90" t="s">
        <v>284</v>
      </c>
      <c r="B32" s="90" t="s">
        <v>285</v>
      </c>
      <c r="C32" s="216" t="s">
        <v>59</v>
      </c>
      <c r="D32" s="272"/>
      <c r="E32" s="207" t="s">
        <v>61</v>
      </c>
      <c r="F32" s="90"/>
      <c r="G32" s="90"/>
      <c r="H32" s="52"/>
      <c r="I32" s="29"/>
      <c r="J32" s="36"/>
      <c r="K32" s="39"/>
      <c r="L32" s="29"/>
      <c r="M32" s="40"/>
      <c r="N32" s="39"/>
      <c r="O32" s="29"/>
      <c r="P32" s="38"/>
      <c r="Q32" s="39"/>
      <c r="R32" s="29"/>
      <c r="S32" s="38"/>
      <c r="T32" s="39"/>
      <c r="U32" s="29"/>
      <c r="V32" s="54"/>
      <c r="W32" s="39">
        <v>5000</v>
      </c>
      <c r="X32" s="29" t="s">
        <v>286</v>
      </c>
      <c r="Y32" s="38"/>
      <c r="Z32" s="34"/>
      <c r="AA32" s="29"/>
      <c r="AB32" s="38"/>
      <c r="AC32" s="39"/>
      <c r="AD32" s="29"/>
      <c r="AE32" s="38"/>
      <c r="AF32" s="39"/>
      <c r="AG32" s="29"/>
      <c r="AH32" s="38"/>
      <c r="AI32" s="48"/>
      <c r="AJ32" s="29"/>
      <c r="AK32" s="54"/>
      <c r="AL32" s="39"/>
      <c r="AM32" s="29"/>
      <c r="AN32" s="38"/>
      <c r="AO32" s="39"/>
      <c r="AP32" s="29"/>
      <c r="AQ32" s="38"/>
      <c r="AR32" s="39"/>
      <c r="AS32" s="29"/>
      <c r="AT32" s="3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3"/>
      <c r="BK32" s="63"/>
      <c r="BL32" s="63"/>
      <c r="BM32" s="63"/>
      <c r="BN32" s="63"/>
    </row>
    <row r="33" spans="1:66" ht="15">
      <c r="A33" s="90" t="s">
        <v>194</v>
      </c>
      <c r="B33" s="90" t="s">
        <v>195</v>
      </c>
      <c r="C33" s="216" t="s">
        <v>42</v>
      </c>
      <c r="D33" s="272"/>
      <c r="E33" s="207" t="s">
        <v>20</v>
      </c>
      <c r="F33" s="90"/>
      <c r="G33" s="90"/>
      <c r="H33" s="52"/>
      <c r="I33" s="29"/>
      <c r="J33" s="36"/>
      <c r="K33" s="39"/>
      <c r="L33" s="29"/>
      <c r="M33" s="40"/>
      <c r="N33" s="39"/>
      <c r="O33" s="29"/>
      <c r="P33" s="38"/>
      <c r="Q33" s="39">
        <v>5000</v>
      </c>
      <c r="R33" s="29" t="s">
        <v>196</v>
      </c>
      <c r="S33" s="38">
        <v>217</v>
      </c>
      <c r="T33" s="39"/>
      <c r="U33" s="29"/>
      <c r="V33" s="54"/>
      <c r="W33" s="39"/>
      <c r="X33" s="29"/>
      <c r="Y33" s="38"/>
      <c r="Z33" s="34"/>
      <c r="AA33" s="29"/>
      <c r="AB33" s="38"/>
      <c r="AC33" s="39"/>
      <c r="AD33" s="29"/>
      <c r="AE33" s="38"/>
      <c r="AF33" s="39"/>
      <c r="AG33" s="29"/>
      <c r="AH33" s="38"/>
      <c r="AI33" s="48"/>
      <c r="AJ33" s="29"/>
      <c r="AK33" s="54"/>
      <c r="AL33" s="39"/>
      <c r="AM33" s="29"/>
      <c r="AN33" s="38"/>
      <c r="AO33" s="39"/>
      <c r="AP33" s="29"/>
      <c r="AQ33" s="38"/>
      <c r="AR33" s="39"/>
      <c r="AS33" s="29"/>
      <c r="AT33" s="38"/>
      <c r="AU33">
        <f>COUNTA(AT33,AQ33,AN33,AK33,AH33,AE33,AB33,Y33,V33,S33,P33,M33,J33)</f>
        <v>1</v>
      </c>
      <c r="AV33" s="65">
        <f>J33</f>
        <v>0</v>
      </c>
      <c r="AW33" s="65">
        <f>M33</f>
        <v>0</v>
      </c>
      <c r="AX33" s="65">
        <f>P33</f>
        <v>0</v>
      </c>
      <c r="AY33" s="65">
        <f>S33</f>
        <v>217</v>
      </c>
      <c r="AZ33" s="65">
        <f>V33</f>
        <v>0</v>
      </c>
      <c r="BA33" s="65">
        <f>Y33</f>
        <v>0</v>
      </c>
      <c r="BB33" s="65">
        <f>AB33</f>
        <v>0</v>
      </c>
      <c r="BC33" s="65">
        <f>AE33</f>
        <v>0</v>
      </c>
      <c r="BD33" s="65">
        <f>AH33</f>
        <v>0</v>
      </c>
      <c r="BE33" s="65">
        <f>AK33</f>
        <v>0</v>
      </c>
      <c r="BF33" s="65">
        <f>AN33</f>
        <v>0</v>
      </c>
      <c r="BG33" s="65">
        <f>AQ33</f>
        <v>0</v>
      </c>
      <c r="BH33" s="65">
        <f>AT33</f>
        <v>0</v>
      </c>
      <c r="BI33" s="65"/>
      <c r="BJ33" s="63">
        <f>LARGE(AV33:BI33,1)</f>
        <v>217</v>
      </c>
      <c r="BK33" s="63">
        <f>LARGE(AV33:BI33,2)</f>
        <v>0</v>
      </c>
      <c r="BL33" s="63">
        <f>LARGE(AV33:BI33,3)</f>
        <v>0</v>
      </c>
      <c r="BM33" s="63">
        <f>LARGE(AV33:BI33,4)</f>
        <v>0</v>
      </c>
      <c r="BN33" s="63">
        <f>LARGE(AV33:BI33,5)</f>
        <v>0</v>
      </c>
    </row>
    <row r="34" spans="1:66" ht="15">
      <c r="A34" s="90" t="s">
        <v>132</v>
      </c>
      <c r="B34" s="90" t="s">
        <v>133</v>
      </c>
      <c r="C34" s="216" t="s">
        <v>35</v>
      </c>
      <c r="D34" s="272"/>
      <c r="E34" s="207" t="s">
        <v>87</v>
      </c>
      <c r="F34" s="90"/>
      <c r="G34" s="90"/>
      <c r="H34" s="52">
        <v>3000</v>
      </c>
      <c r="I34" s="29" t="s">
        <v>318</v>
      </c>
      <c r="J34" s="36">
        <v>124</v>
      </c>
      <c r="K34" s="31">
        <v>1500</v>
      </c>
      <c r="L34" s="31" t="s">
        <v>134</v>
      </c>
      <c r="M34" s="40">
        <v>155</v>
      </c>
      <c r="N34" s="39"/>
      <c r="O34" s="29"/>
      <c r="P34" s="38"/>
      <c r="Q34" s="39"/>
      <c r="R34" s="29"/>
      <c r="S34" s="38"/>
      <c r="T34" s="39"/>
      <c r="U34" s="29"/>
      <c r="V34" s="54"/>
      <c r="W34" s="39">
        <v>3000</v>
      </c>
      <c r="X34" s="29" t="s">
        <v>268</v>
      </c>
      <c r="Y34" s="38">
        <v>187</v>
      </c>
      <c r="Z34" s="34"/>
      <c r="AA34" s="29"/>
      <c r="AB34" s="38"/>
      <c r="AC34" s="39"/>
      <c r="AD34" s="29"/>
      <c r="AE34" s="38"/>
      <c r="AF34" s="39"/>
      <c r="AG34" s="29"/>
      <c r="AH34" s="38"/>
      <c r="AI34" s="48"/>
      <c r="AJ34" s="29"/>
      <c r="AK34" s="54"/>
      <c r="AL34" s="39"/>
      <c r="AM34" s="29"/>
      <c r="AN34" s="38"/>
      <c r="AO34" s="39"/>
      <c r="AP34" s="29"/>
      <c r="AQ34" s="38"/>
      <c r="AR34" s="39"/>
      <c r="AS34" s="29"/>
      <c r="AT34" s="3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3"/>
      <c r="BK34" s="63"/>
      <c r="BL34" s="63"/>
      <c r="BM34" s="63"/>
      <c r="BN34" s="63"/>
    </row>
    <row r="35" spans="1:66" ht="15">
      <c r="A35" s="90" t="s">
        <v>121</v>
      </c>
      <c r="B35" s="90" t="s">
        <v>122</v>
      </c>
      <c r="C35" s="216" t="s">
        <v>123</v>
      </c>
      <c r="D35" s="272"/>
      <c r="E35" s="207" t="s">
        <v>61</v>
      </c>
      <c r="F35" s="90"/>
      <c r="G35" s="90"/>
      <c r="H35" s="52">
        <v>3000</v>
      </c>
      <c r="I35" s="29" t="s">
        <v>313</v>
      </c>
      <c r="J35" s="36">
        <v>225</v>
      </c>
      <c r="K35" s="39">
        <v>1500</v>
      </c>
      <c r="L35" s="29" t="s">
        <v>124</v>
      </c>
      <c r="M35" s="40">
        <v>228</v>
      </c>
      <c r="N35" s="39"/>
      <c r="O35" s="29"/>
      <c r="P35" s="38"/>
      <c r="Q35" s="39"/>
      <c r="R35" s="29"/>
      <c r="S35" s="38"/>
      <c r="T35" s="39"/>
      <c r="U35" s="29"/>
      <c r="V35" s="54"/>
      <c r="W35" s="39"/>
      <c r="X35" s="29"/>
      <c r="Y35" s="38"/>
      <c r="Z35" s="34"/>
      <c r="AA35" s="29"/>
      <c r="AB35" s="38"/>
      <c r="AC35" s="39"/>
      <c r="AD35" s="29"/>
      <c r="AE35" s="38"/>
      <c r="AF35" s="39"/>
      <c r="AG35" s="29"/>
      <c r="AH35" s="38"/>
      <c r="AI35" s="48"/>
      <c r="AJ35" s="29"/>
      <c r="AK35" s="54"/>
      <c r="AL35" s="39"/>
      <c r="AM35" s="29"/>
      <c r="AN35" s="38"/>
      <c r="AO35" s="39"/>
      <c r="AP35" s="29"/>
      <c r="AQ35" s="38"/>
      <c r="AR35" s="39"/>
      <c r="AS35" s="29"/>
      <c r="AT35" s="38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3"/>
      <c r="BK35" s="63"/>
      <c r="BL35" s="63"/>
      <c r="BM35" s="63"/>
      <c r="BN35" s="63"/>
    </row>
    <row r="36" spans="1:66" ht="15">
      <c r="A36" s="90" t="s">
        <v>271</v>
      </c>
      <c r="B36" s="90" t="s">
        <v>272</v>
      </c>
      <c r="C36" s="216" t="s">
        <v>59</v>
      </c>
      <c r="D36" s="267"/>
      <c r="E36" s="207" t="s">
        <v>89</v>
      </c>
      <c r="F36" s="90"/>
      <c r="G36" s="91"/>
      <c r="H36" s="52"/>
      <c r="I36" s="49"/>
      <c r="J36" s="36"/>
      <c r="K36" s="39"/>
      <c r="L36" s="29"/>
      <c r="M36" s="40"/>
      <c r="N36" s="39"/>
      <c r="O36" s="29"/>
      <c r="P36" s="38"/>
      <c r="Q36" s="39"/>
      <c r="R36" s="29"/>
      <c r="S36" s="38"/>
      <c r="T36" s="39"/>
      <c r="U36" s="29"/>
      <c r="V36" s="54"/>
      <c r="W36" s="39">
        <v>5000</v>
      </c>
      <c r="X36" s="29" t="s">
        <v>273</v>
      </c>
      <c r="Y36" s="38">
        <v>224</v>
      </c>
      <c r="Z36" s="34"/>
      <c r="AA36" s="29"/>
      <c r="AB36" s="38"/>
      <c r="AC36" s="39"/>
      <c r="AD36" s="29"/>
      <c r="AE36" s="38"/>
      <c r="AF36" s="39"/>
      <c r="AG36" s="29"/>
      <c r="AH36" s="38"/>
      <c r="AI36" s="48"/>
      <c r="AJ36" s="29"/>
      <c r="AK36" s="54"/>
      <c r="AL36" s="39"/>
      <c r="AM36" s="29"/>
      <c r="AN36" s="38"/>
      <c r="AO36" s="39"/>
      <c r="AP36" s="29"/>
      <c r="AQ36" s="38"/>
      <c r="AR36" s="39"/>
      <c r="AS36" s="29"/>
      <c r="AT36" s="3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3"/>
      <c r="BK36" s="63"/>
      <c r="BL36" s="63"/>
      <c r="BM36" s="63"/>
      <c r="BN36" s="63"/>
    </row>
    <row r="37" spans="1:66" ht="15">
      <c r="A37" s="90" t="s">
        <v>15</v>
      </c>
      <c r="B37" s="90" t="s">
        <v>54</v>
      </c>
      <c r="C37" s="216" t="s">
        <v>42</v>
      </c>
      <c r="D37" s="267"/>
      <c r="E37" s="207" t="s">
        <v>11</v>
      </c>
      <c r="F37" s="90"/>
      <c r="G37" s="91"/>
      <c r="H37" s="52"/>
      <c r="I37" s="49"/>
      <c r="J37" s="36"/>
      <c r="K37" s="275"/>
      <c r="L37" s="275"/>
      <c r="M37" s="40"/>
      <c r="N37" s="39"/>
      <c r="O37" s="29"/>
      <c r="P37" s="38"/>
      <c r="Q37" s="39"/>
      <c r="R37" s="29"/>
      <c r="S37" s="38"/>
      <c r="T37" s="39">
        <v>800</v>
      </c>
      <c r="U37" s="29" t="s">
        <v>250</v>
      </c>
      <c r="V37" s="54">
        <v>355</v>
      </c>
      <c r="W37" s="39"/>
      <c r="X37" s="29"/>
      <c r="Y37" s="38"/>
      <c r="Z37" s="34"/>
      <c r="AA37" s="29"/>
      <c r="AB37" s="38"/>
      <c r="AC37" s="39">
        <v>1500</v>
      </c>
      <c r="AD37" s="29" t="s">
        <v>383</v>
      </c>
      <c r="AE37" s="38">
        <v>125</v>
      </c>
      <c r="AF37" s="39">
        <v>800</v>
      </c>
      <c r="AG37" s="29" t="s">
        <v>414</v>
      </c>
      <c r="AH37" s="38">
        <v>385</v>
      </c>
      <c r="AI37" s="48"/>
      <c r="AJ37" s="29"/>
      <c r="AK37" s="54"/>
      <c r="AL37" s="39"/>
      <c r="AM37" s="29"/>
      <c r="AN37" s="38"/>
      <c r="AO37" s="39"/>
      <c r="AP37" s="29"/>
      <c r="AQ37" s="38"/>
      <c r="AR37" s="39"/>
      <c r="AS37" s="29"/>
      <c r="AT37" s="38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3"/>
      <c r="BK37" s="63"/>
      <c r="BL37" s="63"/>
      <c r="BM37" s="63"/>
      <c r="BN37" s="63"/>
    </row>
    <row r="38" spans="1:66" ht="15">
      <c r="A38" s="90" t="s">
        <v>144</v>
      </c>
      <c r="B38" s="90" t="s">
        <v>92</v>
      </c>
      <c r="C38" s="216" t="s">
        <v>145</v>
      </c>
      <c r="D38" s="267"/>
      <c r="E38" s="207" t="s">
        <v>89</v>
      </c>
      <c r="F38" s="90"/>
      <c r="G38" s="91"/>
      <c r="H38" s="52"/>
      <c r="I38" s="49"/>
      <c r="J38" s="36"/>
      <c r="K38" s="31">
        <v>1500</v>
      </c>
      <c r="L38" s="31" t="s">
        <v>143</v>
      </c>
      <c r="M38" s="40">
        <v>29</v>
      </c>
      <c r="N38" s="39">
        <v>1500</v>
      </c>
      <c r="O38" s="29" t="s">
        <v>168</v>
      </c>
      <c r="P38" s="38">
        <v>36</v>
      </c>
      <c r="Q38" s="39">
        <v>1500</v>
      </c>
      <c r="R38" s="29" t="s">
        <v>192</v>
      </c>
      <c r="S38" s="38">
        <v>40</v>
      </c>
      <c r="T38" s="39"/>
      <c r="U38" s="29"/>
      <c r="V38" s="54"/>
      <c r="W38" s="39"/>
      <c r="X38" s="29"/>
      <c r="Y38" s="38"/>
      <c r="Z38" s="34"/>
      <c r="AA38" s="29"/>
      <c r="AB38" s="38"/>
      <c r="AC38" s="39"/>
      <c r="AD38" s="29"/>
      <c r="AE38" s="38"/>
      <c r="AF38" s="39">
        <v>1500</v>
      </c>
      <c r="AG38" s="29" t="s">
        <v>405</v>
      </c>
      <c r="AH38" s="38">
        <v>50</v>
      </c>
      <c r="AI38" s="48"/>
      <c r="AJ38" s="29"/>
      <c r="AK38" s="54"/>
      <c r="AL38" s="39"/>
      <c r="AM38" s="29"/>
      <c r="AN38" s="38"/>
      <c r="AO38" s="39"/>
      <c r="AP38" s="29"/>
      <c r="AQ38" s="38"/>
      <c r="AR38" s="39"/>
      <c r="AS38" s="29"/>
      <c r="AT38" s="38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3"/>
      <c r="BK38" s="63"/>
      <c r="BL38" s="63"/>
      <c r="BM38" s="63"/>
      <c r="BN38" s="63"/>
    </row>
    <row r="39" spans="1:66" ht="15">
      <c r="A39" s="90" t="s">
        <v>277</v>
      </c>
      <c r="B39" s="90" t="s">
        <v>278</v>
      </c>
      <c r="C39" s="216" t="s">
        <v>42</v>
      </c>
      <c r="D39" s="267"/>
      <c r="E39" s="207" t="s">
        <v>11</v>
      </c>
      <c r="F39" s="90"/>
      <c r="G39" s="91"/>
      <c r="H39" s="52"/>
      <c r="I39" s="49"/>
      <c r="J39" s="36"/>
      <c r="M39" s="40"/>
      <c r="N39" s="39"/>
      <c r="O39" s="29"/>
      <c r="P39" s="38"/>
      <c r="Q39" s="39"/>
      <c r="R39" s="29"/>
      <c r="S39" s="38"/>
      <c r="T39" s="39">
        <v>800</v>
      </c>
      <c r="U39" s="29" t="s">
        <v>338</v>
      </c>
      <c r="V39" s="54">
        <v>236</v>
      </c>
      <c r="W39" s="39">
        <v>5000</v>
      </c>
      <c r="X39" s="29" t="s">
        <v>279</v>
      </c>
      <c r="Y39" s="38">
        <v>69</v>
      </c>
      <c r="Z39" s="34"/>
      <c r="AA39" s="29"/>
      <c r="AB39" s="38"/>
      <c r="AC39" s="39"/>
      <c r="AD39" s="29"/>
      <c r="AE39" s="38"/>
      <c r="AF39" s="39">
        <v>800</v>
      </c>
      <c r="AG39" s="29" t="s">
        <v>416</v>
      </c>
      <c r="AH39" s="38">
        <v>250</v>
      </c>
      <c r="AI39" s="48">
        <v>1500</v>
      </c>
      <c r="AJ39" s="29" t="s">
        <v>427</v>
      </c>
      <c r="AK39" s="54">
        <v>217</v>
      </c>
      <c r="AL39" s="39"/>
      <c r="AM39" s="29"/>
      <c r="AN39" s="38"/>
      <c r="AO39" s="39"/>
      <c r="AP39" s="29"/>
      <c r="AQ39" s="38"/>
      <c r="AR39" s="39"/>
      <c r="AS39" s="29"/>
      <c r="AT39" s="38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3"/>
      <c r="BK39" s="63"/>
      <c r="BL39" s="63"/>
      <c r="BM39" s="63"/>
      <c r="BN39" s="63"/>
    </row>
    <row r="40" spans="1:66" ht="15">
      <c r="A40" s="90" t="s">
        <v>128</v>
      </c>
      <c r="B40" s="90" t="s">
        <v>165</v>
      </c>
      <c r="C40" s="216" t="s">
        <v>145</v>
      </c>
      <c r="D40" s="267"/>
      <c r="E40" s="207" t="s">
        <v>17</v>
      </c>
      <c r="F40" s="90"/>
      <c r="G40" s="91"/>
      <c r="H40" s="52"/>
      <c r="I40" s="29"/>
      <c r="J40" s="36"/>
      <c r="K40" s="39"/>
      <c r="L40" s="29"/>
      <c r="M40" s="36"/>
      <c r="N40" s="35">
        <v>1500</v>
      </c>
      <c r="O40" s="37" t="s">
        <v>166</v>
      </c>
      <c r="P40" s="38">
        <v>719</v>
      </c>
      <c r="Q40" s="39"/>
      <c r="R40" s="29"/>
      <c r="S40" s="38"/>
      <c r="T40" s="39"/>
      <c r="U40" s="29"/>
      <c r="V40" s="54"/>
      <c r="W40" s="39">
        <v>5000</v>
      </c>
      <c r="X40" s="29" t="s">
        <v>280</v>
      </c>
      <c r="Y40" s="38">
        <v>488</v>
      </c>
      <c r="Z40" s="34"/>
      <c r="AA40" s="29"/>
      <c r="AB40" s="38"/>
      <c r="AC40" s="39"/>
      <c r="AD40" s="29"/>
      <c r="AE40" s="38"/>
      <c r="AF40" s="39"/>
      <c r="AG40" s="29"/>
      <c r="AH40" s="38"/>
      <c r="AI40" s="48"/>
      <c r="AJ40" s="29"/>
      <c r="AK40" s="54"/>
      <c r="AL40" s="39"/>
      <c r="AM40" s="29"/>
      <c r="AN40" s="38"/>
      <c r="AO40" s="39"/>
      <c r="AP40" s="29"/>
      <c r="AQ40" s="38"/>
      <c r="AR40" s="39"/>
      <c r="AS40" s="29"/>
      <c r="AT40" s="38"/>
      <c r="AU40">
        <f>COUNTA(AT40,AQ40,AN40,AK40,AH40,AE40,AB40,Y40,V40,S40,P40,M40,J40)</f>
        <v>2</v>
      </c>
      <c r="AV40" s="65">
        <f>J40</f>
        <v>0</v>
      </c>
      <c r="AW40" s="65">
        <f>M40</f>
        <v>0</v>
      </c>
      <c r="AX40" s="65">
        <f>P40</f>
        <v>719</v>
      </c>
      <c r="AY40" s="65">
        <f>S40</f>
        <v>0</v>
      </c>
      <c r="AZ40" s="65">
        <f>V40</f>
        <v>0</v>
      </c>
      <c r="BA40" s="65">
        <f>Y40</f>
        <v>488</v>
      </c>
      <c r="BB40" s="65">
        <f>AB40</f>
        <v>0</v>
      </c>
      <c r="BC40" s="65">
        <f>AE40</f>
        <v>0</v>
      </c>
      <c r="BD40" s="65">
        <f>AH40</f>
        <v>0</v>
      </c>
      <c r="BE40" s="65">
        <f>AK40</f>
        <v>0</v>
      </c>
      <c r="BF40" s="65">
        <f>AN40</f>
        <v>0</v>
      </c>
      <c r="BG40" s="65">
        <f>AQ40</f>
        <v>0</v>
      </c>
      <c r="BH40" s="65">
        <f>AT40</f>
        <v>0</v>
      </c>
      <c r="BI40" s="65"/>
      <c r="BJ40" s="63">
        <f>LARGE(AV40:BI40,1)</f>
        <v>719</v>
      </c>
      <c r="BK40" s="63">
        <f>LARGE(AV40:BI40,2)</f>
        <v>488</v>
      </c>
      <c r="BL40" s="63">
        <f>LARGE(AV40:BI40,3)</f>
        <v>0</v>
      </c>
      <c r="BM40" s="63">
        <f>LARGE(AV40:BI40,4)</f>
        <v>0</v>
      </c>
      <c r="BN40" s="63">
        <f>LARGE(AV40:BI40,5)</f>
        <v>0</v>
      </c>
    </row>
    <row r="41" spans="1:66" ht="15">
      <c r="A41" s="90" t="s">
        <v>81</v>
      </c>
      <c r="B41" s="90" t="s">
        <v>82</v>
      </c>
      <c r="C41" s="216" t="s">
        <v>59</v>
      </c>
      <c r="D41" s="267"/>
      <c r="E41" s="207" t="s">
        <v>69</v>
      </c>
      <c r="F41" s="90"/>
      <c r="G41" s="91"/>
      <c r="H41" s="52"/>
      <c r="I41" s="29"/>
      <c r="J41" s="36"/>
      <c r="K41" s="35"/>
      <c r="L41" s="37"/>
      <c r="M41" s="36"/>
      <c r="N41" s="39"/>
      <c r="O41" s="29"/>
      <c r="P41" s="38"/>
      <c r="Q41" s="39"/>
      <c r="R41" s="29"/>
      <c r="S41" s="38"/>
      <c r="T41" s="39">
        <v>800</v>
      </c>
      <c r="U41" s="29" t="s">
        <v>249</v>
      </c>
      <c r="V41" s="54">
        <v>236</v>
      </c>
      <c r="W41" s="39"/>
      <c r="X41" s="29"/>
      <c r="Y41" s="38"/>
      <c r="Z41" s="34"/>
      <c r="AA41" s="29"/>
      <c r="AB41" s="38"/>
      <c r="AC41" s="39"/>
      <c r="AD41" s="29"/>
      <c r="AE41" s="38"/>
      <c r="AF41" s="39">
        <v>800</v>
      </c>
      <c r="AG41" s="29" t="s">
        <v>415</v>
      </c>
      <c r="AH41" s="38">
        <v>306</v>
      </c>
      <c r="AI41" s="48"/>
      <c r="AJ41" s="29"/>
      <c r="AK41" s="54"/>
      <c r="AL41" s="39"/>
      <c r="AM41" s="29"/>
      <c r="AN41" s="38"/>
      <c r="AO41" s="39"/>
      <c r="AP41" s="29"/>
      <c r="AQ41" s="38"/>
      <c r="AR41" s="39"/>
      <c r="AS41" s="29"/>
      <c r="AT41" s="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3"/>
      <c r="BK41" s="63"/>
      <c r="BL41" s="63"/>
      <c r="BM41" s="63"/>
      <c r="BN41" s="63"/>
    </row>
    <row r="42" spans="1:66" ht="15">
      <c r="A42" s="90" t="s">
        <v>157</v>
      </c>
      <c r="B42" s="90" t="s">
        <v>158</v>
      </c>
      <c r="C42" s="216" t="s">
        <v>159</v>
      </c>
      <c r="D42" s="267"/>
      <c r="E42" s="207" t="s">
        <v>17</v>
      </c>
      <c r="F42" s="90"/>
      <c r="G42" s="91"/>
      <c r="H42" s="52"/>
      <c r="I42" s="29"/>
      <c r="J42" s="36"/>
      <c r="K42" s="39"/>
      <c r="L42" s="29"/>
      <c r="M42" s="36"/>
      <c r="N42" s="35">
        <v>1500</v>
      </c>
      <c r="O42" s="37" t="s">
        <v>160</v>
      </c>
      <c r="P42" s="38">
        <v>324</v>
      </c>
      <c r="Q42" s="39"/>
      <c r="R42" s="29"/>
      <c r="S42" s="38"/>
      <c r="T42" s="39"/>
      <c r="U42" s="29"/>
      <c r="V42" s="54"/>
      <c r="W42" s="39"/>
      <c r="X42" s="29"/>
      <c r="Y42" s="38"/>
      <c r="Z42" s="34"/>
      <c r="AA42" s="29"/>
      <c r="AB42" s="38"/>
      <c r="AC42" s="39"/>
      <c r="AD42" s="29"/>
      <c r="AE42" s="38"/>
      <c r="AF42" s="39"/>
      <c r="AG42" s="29"/>
      <c r="AH42" s="38"/>
      <c r="AI42" s="48"/>
      <c r="AJ42" s="29"/>
      <c r="AK42" s="54"/>
      <c r="AL42" s="39"/>
      <c r="AM42" s="29"/>
      <c r="AN42" s="38"/>
      <c r="AO42" s="39"/>
      <c r="AP42" s="29"/>
      <c r="AQ42" s="38"/>
      <c r="AR42" s="39"/>
      <c r="AS42" s="29"/>
      <c r="AT42" s="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3"/>
      <c r="BK42" s="63"/>
      <c r="BL42" s="63"/>
      <c r="BM42" s="63"/>
      <c r="BN42" s="63"/>
    </row>
    <row r="43" spans="1:66" ht="15">
      <c r="A43" s="90" t="s">
        <v>246</v>
      </c>
      <c r="B43" s="90" t="s">
        <v>247</v>
      </c>
      <c r="C43" s="90" t="s">
        <v>59</v>
      </c>
      <c r="D43" s="91"/>
      <c r="E43" s="207" t="s">
        <v>69</v>
      </c>
      <c r="F43" s="90"/>
      <c r="G43" s="91"/>
      <c r="H43" s="52"/>
      <c r="I43" s="29"/>
      <c r="J43" s="36"/>
      <c r="M43" s="36"/>
      <c r="N43" s="35"/>
      <c r="O43" s="37"/>
      <c r="P43" s="38"/>
      <c r="Q43" s="39"/>
      <c r="R43" s="29"/>
      <c r="S43" s="38"/>
      <c r="T43" s="39">
        <v>800</v>
      </c>
      <c r="U43" s="29" t="s">
        <v>248</v>
      </c>
      <c r="V43" s="54">
        <v>414</v>
      </c>
      <c r="W43" s="39"/>
      <c r="X43" s="29"/>
      <c r="Y43" s="38"/>
      <c r="Z43" s="34"/>
      <c r="AA43" s="29"/>
      <c r="AB43" s="38"/>
      <c r="AC43" s="39"/>
      <c r="AD43" s="29"/>
      <c r="AE43" s="38"/>
      <c r="AF43" s="39"/>
      <c r="AG43" s="29"/>
      <c r="AH43" s="38"/>
      <c r="AI43" s="48"/>
      <c r="AJ43" s="29"/>
      <c r="AK43" s="54"/>
      <c r="AL43" s="39"/>
      <c r="AM43" s="29"/>
      <c r="AN43" s="38"/>
      <c r="AO43" s="39"/>
      <c r="AP43" s="29"/>
      <c r="AQ43" s="38"/>
      <c r="AR43" s="39"/>
      <c r="AS43" s="29"/>
      <c r="AT43" s="38"/>
      <c r="AU43">
        <f aca="true" t="shared" si="0" ref="AU43:AU55">COUNTA(AT43,AQ43,AN43,AK43,AH43,AE43,AB43,Y43,V43,S43,P43,M43,J43)</f>
        <v>1</v>
      </c>
      <c r="AV43" s="65">
        <f aca="true" t="shared" si="1" ref="AV43:AV55">J43</f>
        <v>0</v>
      </c>
      <c r="AW43" s="65">
        <f aca="true" t="shared" si="2" ref="AW43:AW55">M43</f>
        <v>0</v>
      </c>
      <c r="AX43" s="65">
        <f aca="true" t="shared" si="3" ref="AX43:AX55">P43</f>
        <v>0</v>
      </c>
      <c r="AY43" s="65">
        <f aca="true" t="shared" si="4" ref="AY43:AY55">S43</f>
        <v>0</v>
      </c>
      <c r="AZ43" s="65">
        <f aca="true" t="shared" si="5" ref="AZ43:AZ55">V43</f>
        <v>414</v>
      </c>
      <c r="BA43" s="65">
        <f aca="true" t="shared" si="6" ref="BA43:BA55">Y43</f>
        <v>0</v>
      </c>
      <c r="BB43" s="65">
        <f aca="true" t="shared" si="7" ref="BB43:BB55">AB43</f>
        <v>0</v>
      </c>
      <c r="BC43" s="65">
        <f aca="true" t="shared" si="8" ref="BC43:BC55">AE43</f>
        <v>0</v>
      </c>
      <c r="BD43" s="65">
        <f aca="true" t="shared" si="9" ref="BD43:BD55">AH43</f>
        <v>0</v>
      </c>
      <c r="BE43" s="65">
        <f aca="true" t="shared" si="10" ref="BE43:BE55">AK43</f>
        <v>0</v>
      </c>
      <c r="BF43" s="65">
        <f aca="true" t="shared" si="11" ref="BF43:BF55">AN43</f>
        <v>0</v>
      </c>
      <c r="BG43" s="65">
        <f aca="true" t="shared" si="12" ref="BG43:BG55">AQ43</f>
        <v>0</v>
      </c>
      <c r="BH43" s="65">
        <f aca="true" t="shared" si="13" ref="BH43:BH55">AT43</f>
        <v>0</v>
      </c>
      <c r="BI43" s="65"/>
      <c r="BJ43" s="63">
        <f aca="true" t="shared" si="14" ref="BJ43:BJ55">LARGE(AV43:BI43,1)</f>
        <v>414</v>
      </c>
      <c r="BK43" s="63">
        <f aca="true" t="shared" si="15" ref="BK43:BK55">LARGE(AV43:BI43,2)</f>
        <v>0</v>
      </c>
      <c r="BL43" s="63">
        <f aca="true" t="shared" si="16" ref="BL43:BL55">LARGE(AV43:BI43,3)</f>
        <v>0</v>
      </c>
      <c r="BM43" s="63">
        <f aca="true" t="shared" si="17" ref="BM43:BM55">LARGE(AV43:BI43,4)</f>
        <v>0</v>
      </c>
      <c r="BN43" s="63">
        <f>LARGE(AV43:BI43,5)</f>
        <v>0</v>
      </c>
    </row>
    <row r="44" spans="1:66" ht="15">
      <c r="A44" s="90" t="s">
        <v>252</v>
      </c>
      <c r="B44" s="90" t="s">
        <v>253</v>
      </c>
      <c r="C44" s="90" t="s">
        <v>59</v>
      </c>
      <c r="D44" s="91"/>
      <c r="E44" s="207" t="s">
        <v>69</v>
      </c>
      <c r="F44" s="90"/>
      <c r="G44" s="91"/>
      <c r="H44" s="52"/>
      <c r="I44" s="29"/>
      <c r="J44" s="36"/>
      <c r="K44" s="39"/>
      <c r="L44" s="29"/>
      <c r="M44" s="40"/>
      <c r="N44" s="39"/>
      <c r="O44" s="29"/>
      <c r="P44" s="38"/>
      <c r="Q44" s="39"/>
      <c r="R44" s="29"/>
      <c r="S44" s="38"/>
      <c r="T44" s="39">
        <v>800</v>
      </c>
      <c r="U44" s="29" t="s">
        <v>254</v>
      </c>
      <c r="V44" s="54">
        <v>95</v>
      </c>
      <c r="W44" s="35"/>
      <c r="X44" s="29"/>
      <c r="Y44" s="38"/>
      <c r="Z44" s="34"/>
      <c r="AA44" s="29"/>
      <c r="AB44" s="38"/>
      <c r="AC44" s="39"/>
      <c r="AD44" s="29"/>
      <c r="AE44" s="38"/>
      <c r="AF44" s="39"/>
      <c r="AG44" s="29"/>
      <c r="AH44" s="38"/>
      <c r="AI44" s="48"/>
      <c r="AJ44" s="29"/>
      <c r="AK44" s="54"/>
      <c r="AL44" s="39"/>
      <c r="AM44" s="29"/>
      <c r="AN44" s="38"/>
      <c r="AO44" s="39"/>
      <c r="AP44" s="29"/>
      <c r="AQ44" s="38"/>
      <c r="AR44" s="39"/>
      <c r="AS44" s="29"/>
      <c r="AT44" s="38"/>
      <c r="AU44">
        <f t="shared" si="0"/>
        <v>1</v>
      </c>
      <c r="AV44" s="65">
        <f t="shared" si="1"/>
        <v>0</v>
      </c>
      <c r="AW44" s="65">
        <f t="shared" si="2"/>
        <v>0</v>
      </c>
      <c r="AX44" s="65">
        <f t="shared" si="3"/>
        <v>0</v>
      </c>
      <c r="AY44" s="65">
        <f t="shared" si="4"/>
        <v>0</v>
      </c>
      <c r="AZ44" s="65">
        <f t="shared" si="5"/>
        <v>95</v>
      </c>
      <c r="BA44" s="65">
        <f t="shared" si="6"/>
        <v>0</v>
      </c>
      <c r="BB44" s="65">
        <f t="shared" si="7"/>
        <v>0</v>
      </c>
      <c r="BC44" s="65">
        <f t="shared" si="8"/>
        <v>0</v>
      </c>
      <c r="BD44" s="65">
        <f t="shared" si="9"/>
        <v>0</v>
      </c>
      <c r="BE44" s="65">
        <f t="shared" si="10"/>
        <v>0</v>
      </c>
      <c r="BF44" s="65">
        <f t="shared" si="11"/>
        <v>0</v>
      </c>
      <c r="BG44" s="65">
        <f t="shared" si="12"/>
        <v>0</v>
      </c>
      <c r="BH44" s="65">
        <f t="shared" si="13"/>
        <v>0</v>
      </c>
      <c r="BI44" s="65"/>
      <c r="BJ44" s="63">
        <f t="shared" si="14"/>
        <v>95</v>
      </c>
      <c r="BK44" s="63">
        <f t="shared" si="15"/>
        <v>0</v>
      </c>
      <c r="BL44" s="63">
        <f t="shared" si="16"/>
        <v>0</v>
      </c>
      <c r="BM44" s="63">
        <f t="shared" si="17"/>
        <v>0</v>
      </c>
      <c r="BN44" s="63" t="e">
        <f>#VALUE!</f>
        <v>#VALUE!</v>
      </c>
    </row>
    <row r="45" spans="1:66" ht="15">
      <c r="A45" s="90" t="s">
        <v>126</v>
      </c>
      <c r="B45" s="90" t="s">
        <v>127</v>
      </c>
      <c r="C45" s="90" t="s">
        <v>123</v>
      </c>
      <c r="D45" s="91"/>
      <c r="E45" s="207" t="s">
        <v>69</v>
      </c>
      <c r="F45" s="90"/>
      <c r="G45" s="91"/>
      <c r="H45" s="52"/>
      <c r="I45" s="29"/>
      <c r="J45" s="36"/>
      <c r="K45" s="39">
        <v>1500</v>
      </c>
      <c r="L45" s="29" t="s">
        <v>125</v>
      </c>
      <c r="M45" s="40">
        <v>219</v>
      </c>
      <c r="N45" s="39"/>
      <c r="O45" s="29"/>
      <c r="P45" s="38"/>
      <c r="Q45" s="39"/>
      <c r="R45" s="29"/>
      <c r="S45" s="38"/>
      <c r="T45" s="39">
        <v>800</v>
      </c>
      <c r="U45" s="29" t="s">
        <v>245</v>
      </c>
      <c r="V45" s="54"/>
      <c r="W45" s="35"/>
      <c r="X45" s="29"/>
      <c r="Y45" s="38"/>
      <c r="Z45" s="34"/>
      <c r="AA45" s="29"/>
      <c r="AB45" s="38"/>
      <c r="AC45" s="39"/>
      <c r="AD45" s="29"/>
      <c r="AE45" s="38"/>
      <c r="AF45" s="39"/>
      <c r="AG45" s="29"/>
      <c r="AH45" s="38"/>
      <c r="AI45" s="48"/>
      <c r="AJ45" s="29"/>
      <c r="AK45" s="54"/>
      <c r="AL45" s="39"/>
      <c r="AM45" s="29"/>
      <c r="AN45" s="38"/>
      <c r="AO45" s="39"/>
      <c r="AP45" s="29"/>
      <c r="AQ45" s="38"/>
      <c r="AR45" s="39"/>
      <c r="AS45" s="29"/>
      <c r="AT45" s="38"/>
      <c r="AU45">
        <f t="shared" si="0"/>
        <v>1</v>
      </c>
      <c r="AV45" s="65">
        <f t="shared" si="1"/>
        <v>0</v>
      </c>
      <c r="AW45" s="65">
        <f t="shared" si="2"/>
        <v>219</v>
      </c>
      <c r="AX45" s="65">
        <f t="shared" si="3"/>
        <v>0</v>
      </c>
      <c r="AY45" s="65">
        <f t="shared" si="4"/>
        <v>0</v>
      </c>
      <c r="AZ45" s="65">
        <f t="shared" si="5"/>
        <v>0</v>
      </c>
      <c r="BA45" s="65">
        <f t="shared" si="6"/>
        <v>0</v>
      </c>
      <c r="BB45" s="65">
        <f t="shared" si="7"/>
        <v>0</v>
      </c>
      <c r="BC45" s="65">
        <f t="shared" si="8"/>
        <v>0</v>
      </c>
      <c r="BD45" s="65">
        <f t="shared" si="9"/>
        <v>0</v>
      </c>
      <c r="BE45" s="65">
        <f t="shared" si="10"/>
        <v>0</v>
      </c>
      <c r="BF45" s="65">
        <f t="shared" si="11"/>
        <v>0</v>
      </c>
      <c r="BG45" s="65">
        <f t="shared" si="12"/>
        <v>0</v>
      </c>
      <c r="BH45" s="65">
        <f t="shared" si="13"/>
        <v>0</v>
      </c>
      <c r="BI45" s="65"/>
      <c r="BJ45" s="63">
        <f t="shared" si="14"/>
        <v>219</v>
      </c>
      <c r="BK45" s="63">
        <f t="shared" si="15"/>
        <v>0</v>
      </c>
      <c r="BL45" s="63">
        <f t="shared" si="16"/>
        <v>0</v>
      </c>
      <c r="BM45" s="63">
        <f t="shared" si="17"/>
        <v>0</v>
      </c>
      <c r="BN45" s="63">
        <f aca="true" t="shared" si="18" ref="BN45:BN55">LARGE(AV45:BI45,5)</f>
        <v>0</v>
      </c>
    </row>
    <row r="46" spans="1:66" ht="15">
      <c r="A46" s="92" t="s">
        <v>97</v>
      </c>
      <c r="B46" s="92" t="s">
        <v>98</v>
      </c>
      <c r="C46" s="94" t="s">
        <v>59</v>
      </c>
      <c r="D46" s="92"/>
      <c r="E46" s="193" t="s">
        <v>61</v>
      </c>
      <c r="F46" s="90"/>
      <c r="G46" s="92"/>
      <c r="H46" s="52">
        <v>800</v>
      </c>
      <c r="I46" s="29" t="s">
        <v>96</v>
      </c>
      <c r="J46" s="36">
        <v>395</v>
      </c>
      <c r="K46" s="39"/>
      <c r="L46" s="29"/>
      <c r="M46" s="40"/>
      <c r="N46" s="39">
        <v>1500</v>
      </c>
      <c r="O46" s="29" t="s">
        <v>161</v>
      </c>
      <c r="P46" s="38">
        <v>311</v>
      </c>
      <c r="Q46" s="39"/>
      <c r="R46" s="29"/>
      <c r="S46" s="38"/>
      <c r="T46" s="39">
        <v>800</v>
      </c>
      <c r="U46" s="29" t="s">
        <v>245</v>
      </c>
      <c r="V46" s="54">
        <v>469</v>
      </c>
      <c r="W46" s="39">
        <v>1500</v>
      </c>
      <c r="X46" s="29" t="s">
        <v>266</v>
      </c>
      <c r="Y46" s="38">
        <v>332</v>
      </c>
      <c r="Z46" s="34"/>
      <c r="AA46" s="29"/>
      <c r="AB46" s="38"/>
      <c r="AC46" s="39"/>
      <c r="AD46" s="29"/>
      <c r="AE46" s="38"/>
      <c r="AF46" s="39">
        <v>800</v>
      </c>
      <c r="AG46" s="29" t="s">
        <v>413</v>
      </c>
      <c r="AH46" s="38">
        <v>445</v>
      </c>
      <c r="AI46" s="48"/>
      <c r="AJ46" s="29"/>
      <c r="AK46" s="54"/>
      <c r="AL46" s="39"/>
      <c r="AM46" s="29"/>
      <c r="AN46" s="38"/>
      <c r="AO46" s="39"/>
      <c r="AP46" s="29"/>
      <c r="AQ46" s="38"/>
      <c r="AR46" s="39"/>
      <c r="AS46" s="29"/>
      <c r="AT46" s="38"/>
      <c r="AU46">
        <f t="shared" si="0"/>
        <v>5</v>
      </c>
      <c r="AV46" s="65">
        <f t="shared" si="1"/>
        <v>395</v>
      </c>
      <c r="AW46" s="65">
        <f t="shared" si="2"/>
        <v>0</v>
      </c>
      <c r="AX46" s="65">
        <f t="shared" si="3"/>
        <v>311</v>
      </c>
      <c r="AY46" s="65">
        <f t="shared" si="4"/>
        <v>0</v>
      </c>
      <c r="AZ46" s="65">
        <f t="shared" si="5"/>
        <v>469</v>
      </c>
      <c r="BA46" s="65">
        <f t="shared" si="6"/>
        <v>332</v>
      </c>
      <c r="BB46" s="65">
        <f t="shared" si="7"/>
        <v>0</v>
      </c>
      <c r="BC46" s="65">
        <f t="shared" si="8"/>
        <v>0</v>
      </c>
      <c r="BD46" s="65">
        <f t="shared" si="9"/>
        <v>445</v>
      </c>
      <c r="BE46" s="65">
        <f t="shared" si="10"/>
        <v>0</v>
      </c>
      <c r="BF46" s="65">
        <f t="shared" si="11"/>
        <v>0</v>
      </c>
      <c r="BG46" s="65">
        <f t="shared" si="12"/>
        <v>0</v>
      </c>
      <c r="BH46" s="65">
        <f t="shared" si="13"/>
        <v>0</v>
      </c>
      <c r="BI46" s="65"/>
      <c r="BJ46" s="63">
        <f t="shared" si="14"/>
        <v>469</v>
      </c>
      <c r="BK46" s="63">
        <f t="shared" si="15"/>
        <v>445</v>
      </c>
      <c r="BL46" s="63">
        <f t="shared" si="16"/>
        <v>395</v>
      </c>
      <c r="BM46" s="63">
        <f t="shared" si="17"/>
        <v>332</v>
      </c>
      <c r="BN46" s="63">
        <f t="shared" si="18"/>
        <v>311</v>
      </c>
    </row>
    <row r="47" spans="1:66" ht="15">
      <c r="A47" s="90" t="s">
        <v>239</v>
      </c>
      <c r="B47" s="90" t="s">
        <v>282</v>
      </c>
      <c r="C47" s="90" t="s">
        <v>59</v>
      </c>
      <c r="D47" s="91"/>
      <c r="E47" s="207" t="s">
        <v>11</v>
      </c>
      <c r="F47" s="90"/>
      <c r="G47" s="91"/>
      <c r="H47" s="52"/>
      <c r="I47" s="29"/>
      <c r="J47" s="36"/>
      <c r="K47" s="39"/>
      <c r="L47" s="29"/>
      <c r="M47" s="40"/>
      <c r="N47" s="39"/>
      <c r="O47" s="29"/>
      <c r="P47" s="38"/>
      <c r="Q47" s="39"/>
      <c r="R47" s="29"/>
      <c r="S47" s="38"/>
      <c r="T47" s="39"/>
      <c r="U47" s="29"/>
      <c r="V47" s="54"/>
      <c r="W47" s="39">
        <v>5000</v>
      </c>
      <c r="X47" s="29" t="s">
        <v>283</v>
      </c>
      <c r="Y47" s="38">
        <v>8</v>
      </c>
      <c r="Z47" s="34"/>
      <c r="AA47" s="29"/>
      <c r="AB47" s="38"/>
      <c r="AC47" s="39"/>
      <c r="AD47" s="29"/>
      <c r="AE47" s="38"/>
      <c r="AF47" s="39"/>
      <c r="AG47" s="29"/>
      <c r="AH47" s="38"/>
      <c r="AI47" s="48"/>
      <c r="AJ47" s="29"/>
      <c r="AK47" s="54"/>
      <c r="AL47" s="39"/>
      <c r="AM47" s="29"/>
      <c r="AN47" s="38"/>
      <c r="AO47" s="39"/>
      <c r="AP47" s="29"/>
      <c r="AQ47" s="38"/>
      <c r="AR47" s="39"/>
      <c r="AS47" s="29"/>
      <c r="AT47" s="38"/>
      <c r="AU47">
        <f t="shared" si="0"/>
        <v>1</v>
      </c>
      <c r="AV47" s="65">
        <f t="shared" si="1"/>
        <v>0</v>
      </c>
      <c r="AW47" s="65">
        <f t="shared" si="2"/>
        <v>0</v>
      </c>
      <c r="AX47" s="65">
        <f t="shared" si="3"/>
        <v>0</v>
      </c>
      <c r="AY47" s="65">
        <f t="shared" si="4"/>
        <v>0</v>
      </c>
      <c r="AZ47" s="65">
        <f t="shared" si="5"/>
        <v>0</v>
      </c>
      <c r="BA47" s="65">
        <f t="shared" si="6"/>
        <v>8</v>
      </c>
      <c r="BB47" s="65">
        <f t="shared" si="7"/>
        <v>0</v>
      </c>
      <c r="BC47" s="65">
        <f t="shared" si="8"/>
        <v>0</v>
      </c>
      <c r="BD47" s="65">
        <f t="shared" si="9"/>
        <v>0</v>
      </c>
      <c r="BE47" s="65">
        <f t="shared" si="10"/>
        <v>0</v>
      </c>
      <c r="BF47" s="65">
        <f t="shared" si="11"/>
        <v>0</v>
      </c>
      <c r="BG47" s="65">
        <f t="shared" si="12"/>
        <v>0</v>
      </c>
      <c r="BH47" s="65">
        <f t="shared" si="13"/>
        <v>0</v>
      </c>
      <c r="BI47" s="65"/>
      <c r="BJ47" s="63">
        <f t="shared" si="14"/>
        <v>8</v>
      </c>
      <c r="BK47" s="63">
        <f t="shared" si="15"/>
        <v>0</v>
      </c>
      <c r="BL47" s="63">
        <f t="shared" si="16"/>
        <v>0</v>
      </c>
      <c r="BM47" s="63">
        <f t="shared" si="17"/>
        <v>0</v>
      </c>
      <c r="BN47" s="63">
        <f t="shared" si="18"/>
        <v>0</v>
      </c>
    </row>
    <row r="48" spans="1:66" ht="15">
      <c r="A48" s="90" t="s">
        <v>310</v>
      </c>
      <c r="B48" s="90" t="s">
        <v>311</v>
      </c>
      <c r="C48" s="90" t="s">
        <v>59</v>
      </c>
      <c r="D48" s="263"/>
      <c r="E48" s="207" t="s">
        <v>69</v>
      </c>
      <c r="F48" s="90"/>
      <c r="G48" s="91"/>
      <c r="H48" s="52">
        <v>3000</v>
      </c>
      <c r="I48" s="29" t="s">
        <v>312</v>
      </c>
      <c r="J48" s="36">
        <v>247</v>
      </c>
      <c r="K48" s="35"/>
      <c r="L48" s="30"/>
      <c r="M48" s="36"/>
      <c r="N48" s="39"/>
      <c r="O48" s="29"/>
      <c r="P48" s="38"/>
      <c r="Q48" s="39"/>
      <c r="R48" s="29"/>
      <c r="S48" s="38"/>
      <c r="T48" s="39"/>
      <c r="U48" s="29"/>
      <c r="V48" s="54"/>
      <c r="W48" s="39"/>
      <c r="X48" s="29"/>
      <c r="Y48" s="38"/>
      <c r="Z48" s="34"/>
      <c r="AA48" s="29"/>
      <c r="AB48" s="38"/>
      <c r="AC48" s="39"/>
      <c r="AD48" s="29"/>
      <c r="AE48" s="38"/>
      <c r="AF48" s="39"/>
      <c r="AG48" s="29"/>
      <c r="AH48" s="38"/>
      <c r="AI48" s="48"/>
      <c r="AJ48" s="29"/>
      <c r="AK48" s="54"/>
      <c r="AL48" s="39"/>
      <c r="AM48" s="29"/>
      <c r="AN48" s="38"/>
      <c r="AO48" s="39"/>
      <c r="AP48" s="29"/>
      <c r="AQ48" s="38"/>
      <c r="AR48" s="39"/>
      <c r="AS48" s="29"/>
      <c r="AT48" s="38"/>
      <c r="AU48">
        <f t="shared" si="0"/>
        <v>1</v>
      </c>
      <c r="AV48" s="65">
        <f t="shared" si="1"/>
        <v>247</v>
      </c>
      <c r="AW48" s="65">
        <f t="shared" si="2"/>
        <v>0</v>
      </c>
      <c r="AX48" s="65">
        <f t="shared" si="3"/>
        <v>0</v>
      </c>
      <c r="AY48" s="65">
        <f t="shared" si="4"/>
        <v>0</v>
      </c>
      <c r="AZ48" s="65">
        <f t="shared" si="5"/>
        <v>0</v>
      </c>
      <c r="BA48" s="65">
        <f t="shared" si="6"/>
        <v>0</v>
      </c>
      <c r="BB48" s="65">
        <f t="shared" si="7"/>
        <v>0</v>
      </c>
      <c r="BC48" s="65">
        <f t="shared" si="8"/>
        <v>0</v>
      </c>
      <c r="BD48" s="65">
        <f t="shared" si="9"/>
        <v>0</v>
      </c>
      <c r="BE48" s="65">
        <f t="shared" si="10"/>
        <v>0</v>
      </c>
      <c r="BF48" s="65">
        <f t="shared" si="11"/>
        <v>0</v>
      </c>
      <c r="BG48" s="65">
        <f t="shared" si="12"/>
        <v>0</v>
      </c>
      <c r="BH48" s="65">
        <f t="shared" si="13"/>
        <v>0</v>
      </c>
      <c r="BI48" s="65"/>
      <c r="BJ48" s="63">
        <f t="shared" si="14"/>
        <v>247</v>
      </c>
      <c r="BK48" s="63">
        <f t="shared" si="15"/>
        <v>0</v>
      </c>
      <c r="BL48" s="63">
        <f t="shared" si="16"/>
        <v>0</v>
      </c>
      <c r="BM48" s="63">
        <f t="shared" si="17"/>
        <v>0</v>
      </c>
      <c r="BN48" s="63">
        <f t="shared" si="18"/>
        <v>0</v>
      </c>
    </row>
    <row r="49" spans="1:66" ht="15">
      <c r="A49" s="90" t="s">
        <v>315</v>
      </c>
      <c r="B49" s="90" t="s">
        <v>316</v>
      </c>
      <c r="C49" s="90" t="s">
        <v>35</v>
      </c>
      <c r="D49" s="263"/>
      <c r="E49" s="207" t="s">
        <v>69</v>
      </c>
      <c r="F49" s="90"/>
      <c r="G49" s="91"/>
      <c r="H49" s="52">
        <v>3000</v>
      </c>
      <c r="I49" s="29" t="s">
        <v>317</v>
      </c>
      <c r="J49" s="36">
        <v>154</v>
      </c>
      <c r="K49" s="39"/>
      <c r="L49" s="29"/>
      <c r="M49" s="40"/>
      <c r="N49" s="39"/>
      <c r="O49" s="29"/>
      <c r="P49" s="38"/>
      <c r="Q49" s="39"/>
      <c r="R49" s="29"/>
      <c r="S49" s="38"/>
      <c r="T49" s="39"/>
      <c r="U49" s="29"/>
      <c r="V49" s="54"/>
      <c r="W49" s="35"/>
      <c r="X49" s="29"/>
      <c r="Y49" s="38"/>
      <c r="Z49" s="34"/>
      <c r="AA49" s="29"/>
      <c r="AB49" s="38"/>
      <c r="AC49" s="39"/>
      <c r="AD49" s="29"/>
      <c r="AE49" s="38"/>
      <c r="AF49" s="39"/>
      <c r="AG49" s="29"/>
      <c r="AH49" s="38"/>
      <c r="AI49" s="48"/>
      <c r="AJ49" s="29"/>
      <c r="AK49" s="54"/>
      <c r="AL49" s="39"/>
      <c r="AM49" s="29"/>
      <c r="AN49" s="38"/>
      <c r="AO49" s="39"/>
      <c r="AP49" s="29"/>
      <c r="AQ49" s="38"/>
      <c r="AR49" s="39"/>
      <c r="AS49" s="29"/>
      <c r="AT49" s="38"/>
      <c r="AU49">
        <f t="shared" si="0"/>
        <v>1</v>
      </c>
      <c r="AV49" s="65">
        <f t="shared" si="1"/>
        <v>154</v>
      </c>
      <c r="AW49" s="65">
        <f t="shared" si="2"/>
        <v>0</v>
      </c>
      <c r="AX49" s="65">
        <f t="shared" si="3"/>
        <v>0</v>
      </c>
      <c r="AY49" s="65">
        <f t="shared" si="4"/>
        <v>0</v>
      </c>
      <c r="AZ49" s="65">
        <f t="shared" si="5"/>
        <v>0</v>
      </c>
      <c r="BA49" s="65">
        <f t="shared" si="6"/>
        <v>0</v>
      </c>
      <c r="BB49" s="65">
        <f t="shared" si="7"/>
        <v>0</v>
      </c>
      <c r="BC49" s="65">
        <f t="shared" si="8"/>
        <v>0</v>
      </c>
      <c r="BD49" s="65">
        <f t="shared" si="9"/>
        <v>0</v>
      </c>
      <c r="BE49" s="65">
        <f t="shared" si="10"/>
        <v>0</v>
      </c>
      <c r="BF49" s="65">
        <f t="shared" si="11"/>
        <v>0</v>
      </c>
      <c r="BG49" s="65">
        <f t="shared" si="12"/>
        <v>0</v>
      </c>
      <c r="BH49" s="65">
        <f t="shared" si="13"/>
        <v>0</v>
      </c>
      <c r="BI49" s="65"/>
      <c r="BJ49" s="63">
        <f t="shared" si="14"/>
        <v>154</v>
      </c>
      <c r="BK49" s="63">
        <f t="shared" si="15"/>
        <v>0</v>
      </c>
      <c r="BL49" s="63">
        <f t="shared" si="16"/>
        <v>0</v>
      </c>
      <c r="BM49" s="63">
        <f t="shared" si="17"/>
        <v>0</v>
      </c>
      <c r="BN49" s="63">
        <f t="shared" si="18"/>
        <v>0</v>
      </c>
    </row>
    <row r="50" spans="1:66" ht="15">
      <c r="A50" s="90" t="s">
        <v>345</v>
      </c>
      <c r="B50" s="90" t="s">
        <v>346</v>
      </c>
      <c r="C50" s="90" t="s">
        <v>347</v>
      </c>
      <c r="D50" s="263"/>
      <c r="E50" s="207" t="s">
        <v>348</v>
      </c>
      <c r="F50" s="90"/>
      <c r="G50" s="91"/>
      <c r="H50" s="52"/>
      <c r="I50" s="29"/>
      <c r="J50" s="36"/>
      <c r="K50" s="35"/>
      <c r="L50" s="30"/>
      <c r="M50" s="36"/>
      <c r="N50" s="39"/>
      <c r="O50" s="29"/>
      <c r="P50" s="38"/>
      <c r="Q50" s="39"/>
      <c r="R50" s="29"/>
      <c r="S50" s="38"/>
      <c r="T50" s="39"/>
      <c r="U50" s="29"/>
      <c r="V50" s="54"/>
      <c r="W50" s="39"/>
      <c r="X50" s="29"/>
      <c r="Y50" s="38"/>
      <c r="Z50" s="34">
        <v>10000</v>
      </c>
      <c r="AA50" s="29" t="s">
        <v>349</v>
      </c>
      <c r="AB50" s="38">
        <v>529</v>
      </c>
      <c r="AC50" s="39"/>
      <c r="AD50" s="29"/>
      <c r="AE50" s="38"/>
      <c r="AF50" s="39"/>
      <c r="AG50" s="29"/>
      <c r="AH50" s="38"/>
      <c r="AI50" s="48"/>
      <c r="AJ50" s="29"/>
      <c r="AK50" s="54"/>
      <c r="AL50" s="39"/>
      <c r="AM50" s="29"/>
      <c r="AN50" s="38"/>
      <c r="AO50" s="39"/>
      <c r="AP50" s="29"/>
      <c r="AQ50" s="38"/>
      <c r="AR50" s="39"/>
      <c r="AS50" s="29"/>
      <c r="AT50" s="38"/>
      <c r="AU50">
        <f t="shared" si="0"/>
        <v>1</v>
      </c>
      <c r="AV50" s="65">
        <f t="shared" si="1"/>
        <v>0</v>
      </c>
      <c r="AW50" s="65">
        <f t="shared" si="2"/>
        <v>0</v>
      </c>
      <c r="AX50" s="65">
        <f t="shared" si="3"/>
        <v>0</v>
      </c>
      <c r="AY50" s="65">
        <f t="shared" si="4"/>
        <v>0</v>
      </c>
      <c r="AZ50" s="65">
        <f t="shared" si="5"/>
        <v>0</v>
      </c>
      <c r="BA50" s="65">
        <f t="shared" si="6"/>
        <v>0</v>
      </c>
      <c r="BB50" s="65">
        <f t="shared" si="7"/>
        <v>529</v>
      </c>
      <c r="BC50" s="65">
        <f t="shared" si="8"/>
        <v>0</v>
      </c>
      <c r="BD50" s="65">
        <f t="shared" si="9"/>
        <v>0</v>
      </c>
      <c r="BE50" s="65">
        <f t="shared" si="10"/>
        <v>0</v>
      </c>
      <c r="BF50" s="65">
        <f t="shared" si="11"/>
        <v>0</v>
      </c>
      <c r="BG50" s="65">
        <f t="shared" si="12"/>
        <v>0</v>
      </c>
      <c r="BH50" s="65">
        <f t="shared" si="13"/>
        <v>0</v>
      </c>
      <c r="BI50" s="65"/>
      <c r="BJ50" s="63">
        <f t="shared" si="14"/>
        <v>529</v>
      </c>
      <c r="BK50" s="63">
        <f t="shared" si="15"/>
        <v>0</v>
      </c>
      <c r="BL50" s="63">
        <f t="shared" si="16"/>
        <v>0</v>
      </c>
      <c r="BM50" s="63">
        <f t="shared" si="17"/>
        <v>0</v>
      </c>
      <c r="BN50" s="63">
        <f t="shared" si="18"/>
        <v>0</v>
      </c>
    </row>
    <row r="51" spans="1:66" ht="15">
      <c r="A51" s="90" t="s">
        <v>350</v>
      </c>
      <c r="B51" s="90" t="s">
        <v>122</v>
      </c>
      <c r="C51" s="90" t="s">
        <v>351</v>
      </c>
      <c r="D51" s="207"/>
      <c r="E51" s="207" t="s">
        <v>69</v>
      </c>
      <c r="F51" s="90"/>
      <c r="G51" s="90"/>
      <c r="H51" s="52"/>
      <c r="I51" s="29"/>
      <c r="J51" s="36"/>
      <c r="K51" s="39"/>
      <c r="L51" s="29"/>
      <c r="M51" s="40"/>
      <c r="N51" s="39"/>
      <c r="O51" s="29"/>
      <c r="P51" s="38"/>
      <c r="Q51" s="39"/>
      <c r="R51" s="29"/>
      <c r="S51" s="38"/>
      <c r="T51" s="39"/>
      <c r="U51" s="29"/>
      <c r="V51" s="54"/>
      <c r="W51" s="39"/>
      <c r="X51" s="29"/>
      <c r="Y51" s="38"/>
      <c r="Z51" s="34">
        <v>10000</v>
      </c>
      <c r="AA51" s="29" t="s">
        <v>352</v>
      </c>
      <c r="AB51" s="38">
        <v>461</v>
      </c>
      <c r="AC51" s="39"/>
      <c r="AD51" s="29"/>
      <c r="AE51" s="38"/>
      <c r="AF51" s="39"/>
      <c r="AG51" s="29"/>
      <c r="AH51" s="38"/>
      <c r="AI51" s="48"/>
      <c r="AJ51" s="29"/>
      <c r="AK51" s="54"/>
      <c r="AL51" s="39"/>
      <c r="AM51" s="29"/>
      <c r="AN51" s="38"/>
      <c r="AO51" s="39"/>
      <c r="AP51" s="29"/>
      <c r="AQ51" s="38"/>
      <c r="AR51" s="39"/>
      <c r="AS51" s="29"/>
      <c r="AT51" s="38"/>
      <c r="AU51">
        <f t="shared" si="0"/>
        <v>1</v>
      </c>
      <c r="AV51" s="65">
        <f t="shared" si="1"/>
        <v>0</v>
      </c>
      <c r="AW51" s="65">
        <f t="shared" si="2"/>
        <v>0</v>
      </c>
      <c r="AX51" s="65">
        <f t="shared" si="3"/>
        <v>0</v>
      </c>
      <c r="AY51" s="65">
        <f t="shared" si="4"/>
        <v>0</v>
      </c>
      <c r="AZ51" s="65">
        <f t="shared" si="5"/>
        <v>0</v>
      </c>
      <c r="BA51" s="65">
        <f t="shared" si="6"/>
        <v>0</v>
      </c>
      <c r="BB51" s="65">
        <f t="shared" si="7"/>
        <v>461</v>
      </c>
      <c r="BC51" s="65">
        <f t="shared" si="8"/>
        <v>0</v>
      </c>
      <c r="BD51" s="65">
        <f t="shared" si="9"/>
        <v>0</v>
      </c>
      <c r="BE51" s="65">
        <f t="shared" si="10"/>
        <v>0</v>
      </c>
      <c r="BF51" s="65">
        <f t="shared" si="11"/>
        <v>0</v>
      </c>
      <c r="BG51" s="65">
        <f t="shared" si="12"/>
        <v>0</v>
      </c>
      <c r="BH51" s="65">
        <f t="shared" si="13"/>
        <v>0</v>
      </c>
      <c r="BI51" s="65"/>
      <c r="BJ51" s="63">
        <f t="shared" si="14"/>
        <v>461</v>
      </c>
      <c r="BK51" s="63">
        <f t="shared" si="15"/>
        <v>0</v>
      </c>
      <c r="BL51" s="63">
        <f t="shared" si="16"/>
        <v>0</v>
      </c>
      <c r="BM51" s="63">
        <f t="shared" si="17"/>
        <v>0</v>
      </c>
      <c r="BN51" s="63">
        <f t="shared" si="18"/>
        <v>0</v>
      </c>
    </row>
    <row r="52" spans="1:66" ht="15">
      <c r="A52" s="90" t="s">
        <v>355</v>
      </c>
      <c r="B52" s="90" t="s">
        <v>356</v>
      </c>
      <c r="C52" s="90" t="s">
        <v>357</v>
      </c>
      <c r="D52" s="90"/>
      <c r="E52" s="207" t="s">
        <v>69</v>
      </c>
      <c r="F52" s="90"/>
      <c r="G52" s="90"/>
      <c r="H52" s="52"/>
      <c r="I52" s="29"/>
      <c r="J52" s="36"/>
      <c r="K52" s="39"/>
      <c r="L52" s="29"/>
      <c r="M52" s="40"/>
      <c r="N52" s="39"/>
      <c r="O52" s="29"/>
      <c r="P52" s="38"/>
      <c r="Q52" s="39"/>
      <c r="R52" s="29"/>
      <c r="S52" s="38"/>
      <c r="T52" s="39"/>
      <c r="U52" s="29"/>
      <c r="V52" s="54"/>
      <c r="W52" s="39"/>
      <c r="X52" s="29"/>
      <c r="Y52" s="38"/>
      <c r="Z52" s="34">
        <v>10000</v>
      </c>
      <c r="AA52" s="29" t="s">
        <v>358</v>
      </c>
      <c r="AB52" s="38">
        <v>706</v>
      </c>
      <c r="AC52" s="39"/>
      <c r="AD52" s="29"/>
      <c r="AE52" s="38"/>
      <c r="AF52" s="39"/>
      <c r="AG52" s="29"/>
      <c r="AH52" s="38"/>
      <c r="AI52" s="48"/>
      <c r="AJ52" s="29"/>
      <c r="AK52" s="54"/>
      <c r="AL52" s="39"/>
      <c r="AM52" s="29"/>
      <c r="AN52" s="38"/>
      <c r="AO52" s="39"/>
      <c r="AP52" s="29"/>
      <c r="AQ52" s="38"/>
      <c r="AR52" s="39"/>
      <c r="AS52" s="29"/>
      <c r="AT52" s="38"/>
      <c r="AU52">
        <f t="shared" si="0"/>
        <v>1</v>
      </c>
      <c r="AV52" s="65">
        <f t="shared" si="1"/>
        <v>0</v>
      </c>
      <c r="AW52" s="65">
        <f t="shared" si="2"/>
        <v>0</v>
      </c>
      <c r="AX52" s="65">
        <f t="shared" si="3"/>
        <v>0</v>
      </c>
      <c r="AY52" s="65">
        <f t="shared" si="4"/>
        <v>0</v>
      </c>
      <c r="AZ52" s="65">
        <f t="shared" si="5"/>
        <v>0</v>
      </c>
      <c r="BA52" s="65">
        <f t="shared" si="6"/>
        <v>0</v>
      </c>
      <c r="BB52" s="65">
        <f t="shared" si="7"/>
        <v>706</v>
      </c>
      <c r="BC52" s="65">
        <f t="shared" si="8"/>
        <v>0</v>
      </c>
      <c r="BD52" s="65">
        <f t="shared" si="9"/>
        <v>0</v>
      </c>
      <c r="BE52" s="65">
        <f t="shared" si="10"/>
        <v>0</v>
      </c>
      <c r="BF52" s="65">
        <f t="shared" si="11"/>
        <v>0</v>
      </c>
      <c r="BG52" s="65">
        <f t="shared" si="12"/>
        <v>0</v>
      </c>
      <c r="BH52" s="65">
        <f t="shared" si="13"/>
        <v>0</v>
      </c>
      <c r="BI52" s="65"/>
      <c r="BJ52" s="63">
        <f t="shared" si="14"/>
        <v>706</v>
      </c>
      <c r="BK52" s="63">
        <f t="shared" si="15"/>
        <v>0</v>
      </c>
      <c r="BL52" s="63">
        <f t="shared" si="16"/>
        <v>0</v>
      </c>
      <c r="BM52" s="63">
        <f t="shared" si="17"/>
        <v>0</v>
      </c>
      <c r="BN52" s="63">
        <f t="shared" si="18"/>
        <v>0</v>
      </c>
    </row>
    <row r="53" spans="1:66" ht="15">
      <c r="A53" s="90" t="s">
        <v>365</v>
      </c>
      <c r="B53" s="90" t="s">
        <v>366</v>
      </c>
      <c r="C53" s="90" t="s">
        <v>347</v>
      </c>
      <c r="D53" s="91"/>
      <c r="E53" s="207" t="s">
        <v>367</v>
      </c>
      <c r="F53" s="90"/>
      <c r="G53" s="91"/>
      <c r="H53" s="52"/>
      <c r="I53" s="29"/>
      <c r="J53" s="36"/>
      <c r="K53" s="39"/>
      <c r="L53" s="29"/>
      <c r="M53" s="40"/>
      <c r="N53" s="39"/>
      <c r="O53" s="29"/>
      <c r="P53" s="38"/>
      <c r="Q53" s="39"/>
      <c r="R53" s="29"/>
      <c r="S53" s="38"/>
      <c r="T53" s="39"/>
      <c r="U53" s="29"/>
      <c r="V53" s="54"/>
      <c r="W53" s="39"/>
      <c r="X53" s="29"/>
      <c r="Y53" s="38"/>
      <c r="Z53" s="34">
        <v>10000</v>
      </c>
      <c r="AA53" s="29" t="s">
        <v>368</v>
      </c>
      <c r="AB53" s="38">
        <v>124</v>
      </c>
      <c r="AC53" s="39"/>
      <c r="AD53" s="29"/>
      <c r="AE53" s="38"/>
      <c r="AF53" s="39"/>
      <c r="AG53" s="29"/>
      <c r="AH53" s="38"/>
      <c r="AI53" s="48"/>
      <c r="AJ53" s="29"/>
      <c r="AK53" s="54"/>
      <c r="AL53" s="39"/>
      <c r="AM53" s="29"/>
      <c r="AN53" s="38"/>
      <c r="AO53" s="39"/>
      <c r="AP53" s="29"/>
      <c r="AQ53" s="38"/>
      <c r="AR53" s="39"/>
      <c r="AS53" s="29"/>
      <c r="AT53" s="38"/>
      <c r="AU53">
        <f t="shared" si="0"/>
        <v>1</v>
      </c>
      <c r="AV53" s="65">
        <f t="shared" si="1"/>
        <v>0</v>
      </c>
      <c r="AW53" s="65">
        <f t="shared" si="2"/>
        <v>0</v>
      </c>
      <c r="AX53" s="65">
        <f t="shared" si="3"/>
        <v>0</v>
      </c>
      <c r="AY53" s="65">
        <f t="shared" si="4"/>
        <v>0</v>
      </c>
      <c r="AZ53" s="65">
        <f t="shared" si="5"/>
        <v>0</v>
      </c>
      <c r="BA53" s="65">
        <f t="shared" si="6"/>
        <v>0</v>
      </c>
      <c r="BB53" s="65">
        <f t="shared" si="7"/>
        <v>124</v>
      </c>
      <c r="BC53" s="65">
        <f t="shared" si="8"/>
        <v>0</v>
      </c>
      <c r="BD53" s="65">
        <f t="shared" si="9"/>
        <v>0</v>
      </c>
      <c r="BE53" s="65">
        <f t="shared" si="10"/>
        <v>0</v>
      </c>
      <c r="BF53" s="65">
        <f t="shared" si="11"/>
        <v>0</v>
      </c>
      <c r="BG53" s="65">
        <f t="shared" si="12"/>
        <v>0</v>
      </c>
      <c r="BH53" s="65">
        <f t="shared" si="13"/>
        <v>0</v>
      </c>
      <c r="BI53" s="65"/>
      <c r="BJ53" s="63">
        <f t="shared" si="14"/>
        <v>124</v>
      </c>
      <c r="BK53" s="63">
        <f t="shared" si="15"/>
        <v>0</v>
      </c>
      <c r="BL53" s="63">
        <f t="shared" si="16"/>
        <v>0</v>
      </c>
      <c r="BM53" s="63">
        <f t="shared" si="17"/>
        <v>0</v>
      </c>
      <c r="BN53" s="63">
        <f t="shared" si="18"/>
        <v>0</v>
      </c>
    </row>
    <row r="54" spans="1:66" ht="15">
      <c r="A54" s="90" t="s">
        <v>371</v>
      </c>
      <c r="B54" s="90" t="s">
        <v>372</v>
      </c>
      <c r="C54" s="90" t="s">
        <v>357</v>
      </c>
      <c r="D54" s="91"/>
      <c r="E54" s="207" t="s">
        <v>11</v>
      </c>
      <c r="F54" s="90"/>
      <c r="G54" s="91"/>
      <c r="H54" s="52"/>
      <c r="I54" s="29"/>
      <c r="J54" s="36"/>
      <c r="K54" s="35"/>
      <c r="L54" s="30"/>
      <c r="M54" s="36"/>
      <c r="N54" s="39"/>
      <c r="O54" s="29"/>
      <c r="P54" s="38"/>
      <c r="Q54" s="39"/>
      <c r="R54" s="29"/>
      <c r="S54" s="38"/>
      <c r="T54" s="39"/>
      <c r="U54" s="29"/>
      <c r="V54" s="54"/>
      <c r="W54" s="39"/>
      <c r="X54" s="29"/>
      <c r="Y54" s="38"/>
      <c r="Z54" s="34">
        <v>10000</v>
      </c>
      <c r="AA54" s="29" t="s">
        <v>373</v>
      </c>
      <c r="AB54" s="38">
        <v>408</v>
      </c>
      <c r="AC54" s="39"/>
      <c r="AD54" s="29"/>
      <c r="AE54" s="38"/>
      <c r="AF54" s="39"/>
      <c r="AG54" s="29"/>
      <c r="AH54" s="38"/>
      <c r="AI54" s="48"/>
      <c r="AJ54" s="29"/>
      <c r="AK54" s="54"/>
      <c r="AL54" s="39"/>
      <c r="AM54" s="29"/>
      <c r="AN54" s="38"/>
      <c r="AO54" s="39"/>
      <c r="AP54" s="29"/>
      <c r="AQ54" s="38"/>
      <c r="AR54" s="39"/>
      <c r="AS54" s="29"/>
      <c r="AT54" s="38"/>
      <c r="AU54">
        <f t="shared" si="0"/>
        <v>1</v>
      </c>
      <c r="AV54" s="65">
        <f t="shared" si="1"/>
        <v>0</v>
      </c>
      <c r="AW54" s="65">
        <f t="shared" si="2"/>
        <v>0</v>
      </c>
      <c r="AX54" s="65">
        <f t="shared" si="3"/>
        <v>0</v>
      </c>
      <c r="AY54" s="65">
        <f t="shared" si="4"/>
        <v>0</v>
      </c>
      <c r="AZ54" s="65">
        <f t="shared" si="5"/>
        <v>0</v>
      </c>
      <c r="BA54" s="65">
        <f t="shared" si="6"/>
        <v>0</v>
      </c>
      <c r="BB54" s="65">
        <f t="shared" si="7"/>
        <v>408</v>
      </c>
      <c r="BC54" s="65">
        <f t="shared" si="8"/>
        <v>0</v>
      </c>
      <c r="BD54" s="65">
        <f t="shared" si="9"/>
        <v>0</v>
      </c>
      <c r="BE54" s="65">
        <f t="shared" si="10"/>
        <v>0</v>
      </c>
      <c r="BF54" s="65">
        <f t="shared" si="11"/>
        <v>0</v>
      </c>
      <c r="BG54" s="65">
        <f t="shared" si="12"/>
        <v>0</v>
      </c>
      <c r="BH54" s="65">
        <f t="shared" si="13"/>
        <v>0</v>
      </c>
      <c r="BI54" s="65"/>
      <c r="BJ54" s="63">
        <f t="shared" si="14"/>
        <v>408</v>
      </c>
      <c r="BK54" s="63">
        <f t="shared" si="15"/>
        <v>0</v>
      </c>
      <c r="BL54" s="63">
        <f t="shared" si="16"/>
        <v>0</v>
      </c>
      <c r="BM54" s="63">
        <f t="shared" si="17"/>
        <v>0</v>
      </c>
      <c r="BN54" s="63">
        <f t="shared" si="18"/>
        <v>0</v>
      </c>
    </row>
    <row r="55" spans="1:66" ht="15">
      <c r="A55" s="90" t="s">
        <v>397</v>
      </c>
      <c r="B55" s="90" t="s">
        <v>398</v>
      </c>
      <c r="C55" s="90" t="s">
        <v>35</v>
      </c>
      <c r="D55" s="90"/>
      <c r="E55" s="207" t="s">
        <v>399</v>
      </c>
      <c r="F55" s="90"/>
      <c r="G55" s="90"/>
      <c r="H55" s="52"/>
      <c r="I55" s="29"/>
      <c r="J55" s="36"/>
      <c r="K55" s="39"/>
      <c r="L55" s="29"/>
      <c r="M55" s="40"/>
      <c r="N55" s="39"/>
      <c r="O55" s="29"/>
      <c r="P55" s="38"/>
      <c r="Q55" s="39"/>
      <c r="R55" s="29"/>
      <c r="S55" s="38"/>
      <c r="T55" s="39"/>
      <c r="U55" s="29"/>
      <c r="V55" s="54"/>
      <c r="W55" s="39"/>
      <c r="X55" s="29"/>
      <c r="Y55" s="38"/>
      <c r="Z55" s="34"/>
      <c r="AA55" s="29"/>
      <c r="AB55" s="38"/>
      <c r="AC55" s="39">
        <v>1500</v>
      </c>
      <c r="AD55" s="29" t="s">
        <v>400</v>
      </c>
      <c r="AE55" s="38">
        <v>399</v>
      </c>
      <c r="AF55" s="39">
        <v>800</v>
      </c>
      <c r="AG55" s="29" t="s">
        <v>410</v>
      </c>
      <c r="AH55" s="38">
        <v>606</v>
      </c>
      <c r="AI55" s="48"/>
      <c r="AJ55" s="29"/>
      <c r="AK55" s="54"/>
      <c r="AL55" s="39"/>
      <c r="AM55" s="29"/>
      <c r="AN55" s="38"/>
      <c r="AO55" s="39"/>
      <c r="AP55" s="29"/>
      <c r="AQ55" s="38"/>
      <c r="AR55" s="39"/>
      <c r="AS55" s="29"/>
      <c r="AT55" s="38"/>
      <c r="AU55">
        <f t="shared" si="0"/>
        <v>2</v>
      </c>
      <c r="AV55" s="65">
        <f t="shared" si="1"/>
        <v>0</v>
      </c>
      <c r="AW55" s="65">
        <f t="shared" si="2"/>
        <v>0</v>
      </c>
      <c r="AX55" s="65">
        <f t="shared" si="3"/>
        <v>0</v>
      </c>
      <c r="AY55" s="65">
        <f t="shared" si="4"/>
        <v>0</v>
      </c>
      <c r="AZ55" s="65">
        <f t="shared" si="5"/>
        <v>0</v>
      </c>
      <c r="BA55" s="65">
        <f t="shared" si="6"/>
        <v>0</v>
      </c>
      <c r="BB55" s="65">
        <f t="shared" si="7"/>
        <v>0</v>
      </c>
      <c r="BC55" s="65">
        <f t="shared" si="8"/>
        <v>399</v>
      </c>
      <c r="BD55" s="65">
        <f t="shared" si="9"/>
        <v>606</v>
      </c>
      <c r="BE55" s="65">
        <f t="shared" si="10"/>
        <v>0</v>
      </c>
      <c r="BF55" s="65">
        <f t="shared" si="11"/>
        <v>0</v>
      </c>
      <c r="BG55" s="65">
        <f t="shared" si="12"/>
        <v>0</v>
      </c>
      <c r="BH55" s="65">
        <f t="shared" si="13"/>
        <v>0</v>
      </c>
      <c r="BI55" s="65"/>
      <c r="BJ55" s="63">
        <f t="shared" si="14"/>
        <v>606</v>
      </c>
      <c r="BK55" s="63">
        <f t="shared" si="15"/>
        <v>399</v>
      </c>
      <c r="BL55" s="63">
        <f t="shared" si="16"/>
        <v>0</v>
      </c>
      <c r="BM55" s="63">
        <f t="shared" si="17"/>
        <v>0</v>
      </c>
      <c r="BN55" s="63">
        <f t="shared" si="18"/>
        <v>0</v>
      </c>
    </row>
  </sheetData>
  <sheetProtection/>
  <mergeCells count="13">
    <mergeCell ref="Z2:AB2"/>
    <mergeCell ref="K2:M2"/>
    <mergeCell ref="H2:J2"/>
    <mergeCell ref="N2:P2"/>
    <mergeCell ref="Q2:S2"/>
    <mergeCell ref="T2:V2"/>
    <mergeCell ref="W2:Y2"/>
    <mergeCell ref="AL2:AN2"/>
    <mergeCell ref="AO2:AQ2"/>
    <mergeCell ref="AR2:AT2"/>
    <mergeCell ref="AC2:AE2"/>
    <mergeCell ref="AF2:AH2"/>
    <mergeCell ref="AI2:AK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36"/>
  <sheetViews>
    <sheetView zoomScale="85" zoomScaleNormal="85" zoomScalePageLayoutView="0" workbookViewId="0" topLeftCell="A1">
      <pane ySplit="1005" topLeftCell="A1" activePane="bottomLeft" state="split"/>
      <selection pane="topLeft" activeCell="DI1" sqref="DI1:DJ16384"/>
      <selection pane="bottomLeft" activeCell="BU3" sqref="BU3"/>
    </sheetView>
  </sheetViews>
  <sheetFormatPr defaultColWidth="11.421875" defaultRowHeight="15"/>
  <cols>
    <col min="1" max="2" width="11.421875" style="67" customWidth="1"/>
    <col min="3" max="3" width="3.421875" style="0" bestFit="1" customWidth="1"/>
    <col min="4" max="4" width="3.140625" style="0" bestFit="1" customWidth="1"/>
    <col min="5" max="5" width="18.00390625" style="0" bestFit="1" customWidth="1"/>
    <col min="6" max="6" width="10.7109375" style="1" customWidth="1"/>
    <col min="7" max="7" width="9.421875" style="0" customWidth="1"/>
    <col min="8" max="8" width="4.8515625" style="18" bestFit="1" customWidth="1"/>
    <col min="9" max="9" width="6.28125" style="18" customWidth="1"/>
    <col min="10" max="10" width="4.140625" style="18" bestFit="1" customWidth="1"/>
    <col min="11" max="11" width="4.8515625" style="18" bestFit="1" customWidth="1"/>
    <col min="12" max="12" width="5.421875" style="18" customWidth="1"/>
    <col min="13" max="13" width="4.7109375" style="20" customWidth="1"/>
    <col min="14" max="14" width="4.00390625" style="20" customWidth="1"/>
    <col min="15" max="16" width="4.8515625" style="20" customWidth="1"/>
    <col min="17" max="17" width="4.00390625" style="20" customWidth="1"/>
    <col min="18" max="18" width="5.421875" style="20" customWidth="1"/>
    <col min="19" max="19" width="4.8515625" style="20" customWidth="1"/>
    <col min="20" max="20" width="4.00390625" style="20" customWidth="1"/>
    <col min="21" max="21" width="6.28125" style="20" customWidth="1"/>
    <col min="22" max="22" width="4.7109375" style="20" customWidth="1"/>
    <col min="23" max="23" width="4.7109375" style="18" customWidth="1"/>
    <col min="24" max="24" width="5.8515625" style="18" customWidth="1"/>
    <col min="25" max="25" width="4.7109375" style="20" customWidth="1"/>
    <col min="26" max="26" width="4.00390625" style="104" customWidth="1"/>
    <col min="27" max="27" width="5.28125" style="104" customWidth="1"/>
    <col min="28" max="28" width="5.00390625" style="20" customWidth="1"/>
    <col min="29" max="29" width="5.00390625" style="18" customWidth="1"/>
    <col min="30" max="30" width="4.7109375" style="18" bestFit="1" customWidth="1"/>
    <col min="31" max="31" width="5.28125" style="20" customWidth="1"/>
    <col min="32" max="32" width="4.00390625" style="18" bestFit="1" customWidth="1"/>
    <col min="33" max="33" width="5.421875" style="18" bestFit="1" customWidth="1"/>
    <col min="34" max="34" width="4.8515625" style="20" customWidth="1"/>
    <col min="35" max="35" width="4.00390625" style="18" bestFit="1" customWidth="1"/>
    <col min="36" max="36" width="4.7109375" style="18" bestFit="1" customWidth="1"/>
    <col min="37" max="37" width="5.7109375" style="21" customWidth="1"/>
    <col min="38" max="38" width="4.00390625" style="18" bestFit="1" customWidth="1"/>
    <col min="39" max="39" width="4.7109375" style="18" bestFit="1" customWidth="1"/>
    <col min="40" max="40" width="5.00390625" style="21" customWidth="1"/>
    <col min="41" max="41" width="4.00390625" style="18" bestFit="1" customWidth="1"/>
    <col min="42" max="42" width="4.7109375" style="18" bestFit="1" customWidth="1"/>
    <col min="43" max="43" width="5.7109375" style="21" customWidth="1"/>
    <col min="44" max="44" width="4.00390625" style="18" bestFit="1" customWidth="1"/>
    <col min="45" max="45" width="4.7109375" style="18" bestFit="1" customWidth="1"/>
    <col min="46" max="46" width="5.28125" style="21" customWidth="1"/>
    <col min="47" max="47" width="4.00390625" style="18" bestFit="1" customWidth="1"/>
    <col min="48" max="48" width="4.8515625" style="18" bestFit="1" customWidth="1"/>
    <col min="49" max="49" width="4.8515625" style="21" customWidth="1"/>
    <col min="50" max="50" width="4.00390625" style="18" bestFit="1" customWidth="1"/>
    <col min="51" max="51" width="4.7109375" style="18" bestFit="1" customWidth="1"/>
    <col min="52" max="52" width="4.00390625" style="21" bestFit="1" customWidth="1"/>
    <col min="53" max="53" width="4.00390625" style="18" bestFit="1" customWidth="1"/>
    <col min="54" max="54" width="5.28125" style="18" bestFit="1" customWidth="1"/>
    <col min="55" max="55" width="4.140625" style="21" bestFit="1" customWidth="1"/>
    <col min="56" max="56" width="4.00390625" style="18" bestFit="1" customWidth="1"/>
    <col min="57" max="57" width="5.00390625" style="18" bestFit="1" customWidth="1"/>
    <col min="58" max="58" width="4.00390625" style="21" bestFit="1" customWidth="1"/>
    <col min="59" max="59" width="4.00390625" style="18" bestFit="1" customWidth="1"/>
    <col min="60" max="60" width="4.7109375" style="18" bestFit="1" customWidth="1"/>
    <col min="61" max="61" width="4.140625" style="21" bestFit="1" customWidth="1"/>
    <col min="62" max="62" width="4.00390625" style="18" bestFit="1" customWidth="1"/>
    <col min="63" max="63" width="4.7109375" style="18" bestFit="1" customWidth="1"/>
    <col min="64" max="64" width="4.140625" style="21" bestFit="1" customWidth="1"/>
    <col min="65" max="65" width="4.00390625" style="18" bestFit="1" customWidth="1"/>
    <col min="66" max="66" width="4.7109375" style="18" bestFit="1" customWidth="1"/>
    <col min="67" max="67" width="4.140625" style="21" bestFit="1" customWidth="1"/>
    <col min="68" max="68" width="4.00390625" style="18" bestFit="1" customWidth="1"/>
    <col min="69" max="69" width="5.7109375" style="18" bestFit="1" customWidth="1"/>
    <col min="70" max="70" width="4.140625" style="21" bestFit="1" customWidth="1"/>
    <col min="71" max="71" width="4.00390625" style="18" bestFit="1" customWidth="1"/>
    <col min="72" max="72" width="4.7109375" style="18" bestFit="1" customWidth="1"/>
    <col min="73" max="73" width="4.140625" style="21" bestFit="1" customWidth="1"/>
    <col min="74" max="97" width="3.7109375" style="0" hidden="1" customWidth="1"/>
    <col min="98" max="98" width="3.8515625" style="0" customWidth="1"/>
    <col min="99" max="99" width="5.57421875" style="0" customWidth="1"/>
    <col min="100" max="101" width="3.8515625" style="0" customWidth="1"/>
    <col min="102" max="102" width="4.421875" style="0" customWidth="1"/>
    <col min="103" max="104" width="3.8515625" style="0" customWidth="1"/>
    <col min="105" max="105" width="4.8515625" style="0" customWidth="1"/>
    <col min="106" max="107" width="3.8515625" style="0" customWidth="1"/>
    <col min="108" max="108" width="4.57421875" style="174" customWidth="1"/>
    <col min="109" max="109" width="4.7109375" style="0" customWidth="1"/>
    <col min="110" max="110" width="3.57421875" style="0" customWidth="1"/>
    <col min="111" max="111" width="4.57421875" style="174" customWidth="1"/>
    <col min="112" max="112" width="4.7109375" style="0" customWidth="1"/>
  </cols>
  <sheetData>
    <row r="1" spans="8:112" ht="15">
      <c r="H1" s="378">
        <v>43041</v>
      </c>
      <c r="I1" s="379"/>
      <c r="J1" s="380"/>
      <c r="K1" s="378">
        <v>43041</v>
      </c>
      <c r="L1" s="379"/>
      <c r="M1" s="380"/>
      <c r="N1" s="375">
        <v>43058</v>
      </c>
      <c r="O1" s="376"/>
      <c r="P1" s="376"/>
      <c r="Q1" s="376">
        <v>43058</v>
      </c>
      <c r="R1" s="376"/>
      <c r="S1" s="376"/>
      <c r="T1" s="382">
        <v>42700</v>
      </c>
      <c r="U1" s="382"/>
      <c r="V1" s="382"/>
      <c r="W1" s="381">
        <v>42756</v>
      </c>
      <c r="X1" s="379"/>
      <c r="Y1" s="380"/>
      <c r="Z1" s="375">
        <v>42756</v>
      </c>
      <c r="AA1" s="383"/>
      <c r="AB1" s="384"/>
      <c r="AC1" s="375">
        <v>42770</v>
      </c>
      <c r="AD1" s="376"/>
      <c r="AE1" s="377"/>
      <c r="AF1" s="375">
        <v>42770</v>
      </c>
      <c r="AG1" s="376"/>
      <c r="AH1" s="377"/>
      <c r="AI1" s="375">
        <v>42770</v>
      </c>
      <c r="AJ1" s="376"/>
      <c r="AK1" s="377"/>
      <c r="AL1" s="375">
        <v>42791</v>
      </c>
      <c r="AM1" s="376"/>
      <c r="AN1" s="377"/>
      <c r="AO1" s="375">
        <v>42791</v>
      </c>
      <c r="AP1" s="376"/>
      <c r="AQ1" s="377"/>
      <c r="AR1" s="375">
        <v>42791</v>
      </c>
      <c r="AS1" s="376"/>
      <c r="AT1" s="377"/>
      <c r="AU1" s="375">
        <v>42811</v>
      </c>
      <c r="AV1" s="376"/>
      <c r="AW1" s="377"/>
      <c r="AX1" s="375">
        <v>42811</v>
      </c>
      <c r="AY1" s="376"/>
      <c r="AZ1" s="377"/>
      <c r="BA1" s="375">
        <v>42830</v>
      </c>
      <c r="BB1" s="376"/>
      <c r="BC1" s="377"/>
      <c r="BD1" s="375">
        <v>42830</v>
      </c>
      <c r="BE1" s="376"/>
      <c r="BF1" s="377"/>
      <c r="BG1" s="375" t="s">
        <v>384</v>
      </c>
      <c r="BH1" s="376"/>
      <c r="BI1" s="377"/>
      <c r="BJ1" s="375" t="s">
        <v>384</v>
      </c>
      <c r="BK1" s="376"/>
      <c r="BL1" s="377"/>
      <c r="BM1" s="375" t="s">
        <v>385</v>
      </c>
      <c r="BN1" s="376"/>
      <c r="BO1" s="377"/>
      <c r="BP1" s="375">
        <v>42875</v>
      </c>
      <c r="BQ1" s="376"/>
      <c r="BR1" s="377"/>
      <c r="BS1" s="375">
        <v>42893</v>
      </c>
      <c r="BT1" s="376"/>
      <c r="BU1" s="377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385">
        <v>42893</v>
      </c>
      <c r="CU1" s="386"/>
      <c r="CV1" s="386"/>
      <c r="CW1" s="385">
        <v>42914</v>
      </c>
      <c r="CX1" s="386"/>
      <c r="CY1" s="386"/>
      <c r="CZ1" s="387">
        <v>42915</v>
      </c>
      <c r="DA1" s="388"/>
      <c r="DB1" s="388"/>
      <c r="DC1" s="387">
        <v>42916</v>
      </c>
      <c r="DD1" s="388"/>
      <c r="DE1" s="388"/>
      <c r="DF1" s="387">
        <v>42916</v>
      </c>
      <c r="DG1" s="388"/>
      <c r="DH1" s="388"/>
    </row>
    <row r="2" spans="6:112" ht="30">
      <c r="F2" s="180" t="s">
        <v>24</v>
      </c>
      <c r="G2" s="59" t="s">
        <v>25</v>
      </c>
      <c r="H2" s="25" t="s">
        <v>7</v>
      </c>
      <c r="I2" s="3" t="s">
        <v>8</v>
      </c>
      <c r="J2" s="26" t="s">
        <v>9</v>
      </c>
      <c r="K2" s="25" t="s">
        <v>7</v>
      </c>
      <c r="L2" s="3" t="s">
        <v>8</v>
      </c>
      <c r="M2" s="75" t="s">
        <v>9</v>
      </c>
      <c r="N2" s="74" t="s">
        <v>7</v>
      </c>
      <c r="O2" s="74" t="s">
        <v>8</v>
      </c>
      <c r="P2" s="75" t="s">
        <v>9</v>
      </c>
      <c r="Q2" s="74" t="s">
        <v>7</v>
      </c>
      <c r="R2" s="74" t="s">
        <v>8</v>
      </c>
      <c r="S2" s="75" t="s">
        <v>9</v>
      </c>
      <c r="T2" s="74" t="s">
        <v>7</v>
      </c>
      <c r="U2" s="74" t="s">
        <v>8</v>
      </c>
      <c r="V2" s="75" t="s">
        <v>9</v>
      </c>
      <c r="W2" s="62" t="s">
        <v>7</v>
      </c>
      <c r="X2" s="3" t="s">
        <v>8</v>
      </c>
      <c r="Y2" s="73" t="s">
        <v>9</v>
      </c>
      <c r="Z2" s="74" t="s">
        <v>7</v>
      </c>
      <c r="AA2" s="74" t="s">
        <v>8</v>
      </c>
      <c r="AB2" s="103" t="s">
        <v>322</v>
      </c>
      <c r="AC2" s="25" t="s">
        <v>7</v>
      </c>
      <c r="AD2" s="3" t="s">
        <v>8</v>
      </c>
      <c r="AE2" s="26" t="s">
        <v>9</v>
      </c>
      <c r="AF2" s="25" t="s">
        <v>7</v>
      </c>
      <c r="AG2" s="3" t="s">
        <v>8</v>
      </c>
      <c r="AH2" s="26" t="s">
        <v>9</v>
      </c>
      <c r="AI2" s="25" t="s">
        <v>7</v>
      </c>
      <c r="AJ2" s="3" t="s">
        <v>8</v>
      </c>
      <c r="AK2" s="26" t="s">
        <v>9</v>
      </c>
      <c r="AL2" s="25" t="s">
        <v>7</v>
      </c>
      <c r="AM2" s="3" t="s">
        <v>8</v>
      </c>
      <c r="AN2" s="26" t="s">
        <v>9</v>
      </c>
      <c r="AO2" s="25" t="s">
        <v>7</v>
      </c>
      <c r="AP2" s="3" t="s">
        <v>8</v>
      </c>
      <c r="AQ2" s="26" t="s">
        <v>9</v>
      </c>
      <c r="AR2" s="25" t="s">
        <v>7</v>
      </c>
      <c r="AS2" s="3" t="s">
        <v>8</v>
      </c>
      <c r="AT2" s="26" t="s">
        <v>9</v>
      </c>
      <c r="AU2" s="25" t="s">
        <v>7</v>
      </c>
      <c r="AV2" s="3" t="s">
        <v>8</v>
      </c>
      <c r="AW2" s="26" t="s">
        <v>9</v>
      </c>
      <c r="AX2" s="25" t="s">
        <v>7</v>
      </c>
      <c r="AY2" s="3" t="s">
        <v>8</v>
      </c>
      <c r="AZ2" s="26" t="s">
        <v>9</v>
      </c>
      <c r="BA2" s="25" t="s">
        <v>7</v>
      </c>
      <c r="BB2" s="3" t="s">
        <v>8</v>
      </c>
      <c r="BC2" s="26" t="s">
        <v>9</v>
      </c>
      <c r="BD2" s="25" t="s">
        <v>7</v>
      </c>
      <c r="BE2" s="3" t="s">
        <v>8</v>
      </c>
      <c r="BF2" s="26" t="s">
        <v>9</v>
      </c>
      <c r="BG2" s="25" t="s">
        <v>7</v>
      </c>
      <c r="BH2" s="3" t="s">
        <v>8</v>
      </c>
      <c r="BI2" s="26" t="s">
        <v>9</v>
      </c>
      <c r="BJ2" s="25" t="s">
        <v>7</v>
      </c>
      <c r="BK2" s="3" t="s">
        <v>8</v>
      </c>
      <c r="BL2" s="26" t="s">
        <v>9</v>
      </c>
      <c r="BM2" s="25" t="s">
        <v>7</v>
      </c>
      <c r="BN2" s="3" t="s">
        <v>8</v>
      </c>
      <c r="BO2" s="26" t="s">
        <v>9</v>
      </c>
      <c r="BP2" s="25" t="s">
        <v>7</v>
      </c>
      <c r="BQ2" s="3" t="s">
        <v>8</v>
      </c>
      <c r="BR2" s="26" t="s">
        <v>9</v>
      </c>
      <c r="BS2" s="25" t="s">
        <v>7</v>
      </c>
      <c r="BT2" s="3" t="s">
        <v>8</v>
      </c>
      <c r="BU2" s="26" t="s">
        <v>9</v>
      </c>
      <c r="BV2" s="58"/>
      <c r="BW2" s="66">
        <v>1</v>
      </c>
      <c r="BX2" s="66">
        <v>2</v>
      </c>
      <c r="BY2" s="66">
        <v>3</v>
      </c>
      <c r="BZ2" s="66">
        <v>4</v>
      </c>
      <c r="CA2" s="66">
        <v>5</v>
      </c>
      <c r="CB2" s="66">
        <v>6</v>
      </c>
      <c r="CC2" s="66">
        <v>7</v>
      </c>
      <c r="CD2" s="66">
        <v>8</v>
      </c>
      <c r="CE2" s="66">
        <v>9</v>
      </c>
      <c r="CF2" s="66">
        <v>10</v>
      </c>
      <c r="CG2" s="66">
        <v>11</v>
      </c>
      <c r="CH2" s="66">
        <v>12</v>
      </c>
      <c r="CI2" s="66">
        <v>13</v>
      </c>
      <c r="CJ2" s="66">
        <v>14</v>
      </c>
      <c r="CK2" s="66">
        <v>15</v>
      </c>
      <c r="CL2" s="66">
        <v>16</v>
      </c>
      <c r="CM2" s="66">
        <v>17</v>
      </c>
      <c r="CN2" s="66">
        <v>18</v>
      </c>
      <c r="CO2" s="64" t="s">
        <v>26</v>
      </c>
      <c r="CP2" s="64" t="s">
        <v>27</v>
      </c>
      <c r="CQ2" s="64" t="s">
        <v>28</v>
      </c>
      <c r="CR2" s="64" t="s">
        <v>29</v>
      </c>
      <c r="CS2" s="64" t="s">
        <v>30</v>
      </c>
      <c r="CT2" s="2" t="s">
        <v>7</v>
      </c>
      <c r="CU2" s="2" t="s">
        <v>8</v>
      </c>
      <c r="CV2" s="57" t="s">
        <v>322</v>
      </c>
      <c r="CW2" s="2" t="s">
        <v>7</v>
      </c>
      <c r="CX2" s="2" t="s">
        <v>8</v>
      </c>
      <c r="CY2" s="57" t="s">
        <v>9</v>
      </c>
      <c r="CZ2" s="2" t="s">
        <v>7</v>
      </c>
      <c r="DA2" s="2" t="s">
        <v>8</v>
      </c>
      <c r="DB2" s="57" t="s">
        <v>9</v>
      </c>
      <c r="DC2" s="2" t="s">
        <v>7</v>
      </c>
      <c r="DD2" s="120" t="s">
        <v>8</v>
      </c>
      <c r="DE2" s="57" t="s">
        <v>9</v>
      </c>
      <c r="DF2" s="2" t="s">
        <v>7</v>
      </c>
      <c r="DG2" s="120" t="s">
        <v>8</v>
      </c>
      <c r="DH2" s="57" t="s">
        <v>9</v>
      </c>
    </row>
    <row r="3" spans="1:112" ht="15">
      <c r="A3" s="305" t="s">
        <v>12</v>
      </c>
      <c r="B3" s="305" t="s">
        <v>68</v>
      </c>
      <c r="C3" s="306" t="s">
        <v>47</v>
      </c>
      <c r="D3" s="306">
        <v>50</v>
      </c>
      <c r="E3" s="306" t="s">
        <v>53</v>
      </c>
      <c r="F3" s="261">
        <f>SUM(AW3,BI3,BR3,BU3,CV3,CY3)</f>
        <v>5214</v>
      </c>
      <c r="G3" s="306">
        <v>1</v>
      </c>
      <c r="H3" s="52"/>
      <c r="I3" s="30"/>
      <c r="J3" s="99"/>
      <c r="K3" s="35"/>
      <c r="L3" s="30"/>
      <c r="M3" s="55"/>
      <c r="N3" s="49" t="s">
        <v>222</v>
      </c>
      <c r="O3" s="80">
        <v>1.55</v>
      </c>
      <c r="P3" s="55">
        <v>771</v>
      </c>
      <c r="Q3" s="49" t="s">
        <v>18</v>
      </c>
      <c r="R3" s="80">
        <v>4.9</v>
      </c>
      <c r="S3" s="55">
        <v>753</v>
      </c>
      <c r="T3" s="77" t="s">
        <v>295</v>
      </c>
      <c r="U3" s="80">
        <v>10.8</v>
      </c>
      <c r="V3" s="55">
        <v>783</v>
      </c>
      <c r="W3" s="52" t="s">
        <v>223</v>
      </c>
      <c r="X3" s="30">
        <v>1.55</v>
      </c>
      <c r="Y3" s="71">
        <v>771</v>
      </c>
      <c r="Z3" s="49" t="s">
        <v>18</v>
      </c>
      <c r="AA3" s="80">
        <v>4.92</v>
      </c>
      <c r="AB3" s="100">
        <v>757</v>
      </c>
      <c r="AC3" s="35" t="s">
        <v>44</v>
      </c>
      <c r="AD3" s="68">
        <v>5.06</v>
      </c>
      <c r="AE3" s="36">
        <v>787</v>
      </c>
      <c r="AF3" s="35" t="s">
        <v>256</v>
      </c>
      <c r="AG3" s="68">
        <v>10.77</v>
      </c>
      <c r="AH3" s="36">
        <v>781</v>
      </c>
      <c r="AI3" s="35"/>
      <c r="AJ3" s="30"/>
      <c r="AK3" s="38"/>
      <c r="AL3" s="35"/>
      <c r="AM3" s="68"/>
      <c r="AN3" s="38"/>
      <c r="AO3" s="35"/>
      <c r="AP3" s="68"/>
      <c r="AQ3" s="38"/>
      <c r="AR3" s="35"/>
      <c r="AS3" s="68"/>
      <c r="AT3" s="38"/>
      <c r="AU3" s="35" t="s">
        <v>295</v>
      </c>
      <c r="AV3" s="68">
        <v>11.22</v>
      </c>
      <c r="AW3" s="258">
        <f>SUM(825+50)</f>
        <v>875</v>
      </c>
      <c r="AX3" s="35" t="s">
        <v>222</v>
      </c>
      <c r="AY3" s="68">
        <v>1.53</v>
      </c>
      <c r="AZ3" s="28">
        <v>752</v>
      </c>
      <c r="BA3" s="35" t="s">
        <v>222</v>
      </c>
      <c r="BB3" s="68">
        <v>1.55</v>
      </c>
      <c r="BC3" s="28">
        <v>771</v>
      </c>
      <c r="BD3" s="25" t="s">
        <v>18</v>
      </c>
      <c r="BE3" s="68">
        <v>4.7</v>
      </c>
      <c r="BF3" s="36">
        <v>711</v>
      </c>
      <c r="BG3" s="35" t="s">
        <v>222</v>
      </c>
      <c r="BH3" s="68">
        <v>1.6</v>
      </c>
      <c r="BI3" s="298">
        <f>SUM(818+50)</f>
        <v>868</v>
      </c>
      <c r="BJ3" s="35" t="s">
        <v>44</v>
      </c>
      <c r="BK3" s="68">
        <v>4.9</v>
      </c>
      <c r="BL3" s="28">
        <v>753</v>
      </c>
      <c r="BM3" s="35"/>
      <c r="BN3" s="68"/>
      <c r="BO3" s="28"/>
      <c r="BP3" s="35" t="s">
        <v>62</v>
      </c>
      <c r="BQ3" s="68">
        <v>11.22</v>
      </c>
      <c r="BR3" s="298">
        <f>SUM(825+50)</f>
        <v>875</v>
      </c>
      <c r="BS3" s="35" t="s">
        <v>222</v>
      </c>
      <c r="BT3" s="68">
        <v>1.6</v>
      </c>
      <c r="BU3" s="298">
        <f>SUM(818+50)</f>
        <v>868</v>
      </c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3"/>
      <c r="CP3" s="63"/>
      <c r="CQ3" s="63"/>
      <c r="CR3" s="63"/>
      <c r="CS3" s="63"/>
      <c r="CT3" s="2" t="s">
        <v>326</v>
      </c>
      <c r="CU3" s="86">
        <v>10.97</v>
      </c>
      <c r="CV3" s="299">
        <f>SUM(800+50)</f>
        <v>850</v>
      </c>
      <c r="CW3" s="2" t="s">
        <v>222</v>
      </c>
      <c r="CX3" s="86">
        <v>1.61</v>
      </c>
      <c r="CY3" s="299">
        <f>SUM(828+50)</f>
        <v>878</v>
      </c>
      <c r="CZ3" s="2" t="s">
        <v>18</v>
      </c>
      <c r="DA3" s="86">
        <v>4.94</v>
      </c>
      <c r="DB3" s="57">
        <v>762</v>
      </c>
      <c r="DC3" s="2" t="s">
        <v>326</v>
      </c>
      <c r="DD3" s="120">
        <v>10.47</v>
      </c>
      <c r="DE3" s="57">
        <v>751</v>
      </c>
      <c r="DF3" s="2"/>
      <c r="DG3" s="120"/>
      <c r="DH3" s="57"/>
    </row>
    <row r="4" spans="1:112" ht="15">
      <c r="A4" s="312" t="s">
        <v>37</v>
      </c>
      <c r="B4" s="312" t="s">
        <v>6</v>
      </c>
      <c r="C4" s="308" t="s">
        <v>38</v>
      </c>
      <c r="D4" s="309"/>
      <c r="E4" s="286" t="s">
        <v>39</v>
      </c>
      <c r="F4" s="261">
        <f>SUM(P4,S4,Y4,AN4,BI4,BU4)</f>
        <v>4997</v>
      </c>
      <c r="G4" s="261">
        <v>2</v>
      </c>
      <c r="H4" s="52"/>
      <c r="I4" s="30"/>
      <c r="J4" s="99"/>
      <c r="K4" s="35"/>
      <c r="L4" s="30"/>
      <c r="M4" s="55"/>
      <c r="N4" s="49" t="s">
        <v>222</v>
      </c>
      <c r="O4" s="80">
        <v>1.68</v>
      </c>
      <c r="P4" s="292">
        <v>894</v>
      </c>
      <c r="Q4" s="49" t="s">
        <v>18</v>
      </c>
      <c r="R4" s="80">
        <v>4.63</v>
      </c>
      <c r="S4" s="292">
        <v>697</v>
      </c>
      <c r="T4" s="77"/>
      <c r="U4" s="80"/>
      <c r="V4" s="55"/>
      <c r="W4" s="52" t="s">
        <v>222</v>
      </c>
      <c r="X4" s="30">
        <v>1.68</v>
      </c>
      <c r="Y4" s="297">
        <v>894</v>
      </c>
      <c r="Z4" s="49"/>
      <c r="AA4" s="80"/>
      <c r="AB4" s="100"/>
      <c r="AC4" s="35"/>
      <c r="AD4" s="68"/>
      <c r="AE4" s="36"/>
      <c r="AF4" s="35"/>
      <c r="AG4" s="68"/>
      <c r="AH4" s="36"/>
      <c r="AI4" s="35"/>
      <c r="AJ4" s="30"/>
      <c r="AK4" s="38"/>
      <c r="AL4" s="35" t="s">
        <v>223</v>
      </c>
      <c r="AM4" s="68">
        <v>1.6</v>
      </c>
      <c r="AN4" s="258">
        <v>818</v>
      </c>
      <c r="AO4" s="35"/>
      <c r="AP4" s="68"/>
      <c r="AQ4" s="38"/>
      <c r="AR4" s="35"/>
      <c r="AS4" s="68"/>
      <c r="AT4" s="38"/>
      <c r="AU4" s="35"/>
      <c r="AV4" s="30"/>
      <c r="AW4" s="38"/>
      <c r="AX4" s="35"/>
      <c r="AY4" s="68"/>
      <c r="AZ4" s="28"/>
      <c r="BA4" s="35"/>
      <c r="BB4" s="68"/>
      <c r="BC4" s="28"/>
      <c r="BD4" s="35"/>
      <c r="BE4" s="68"/>
      <c r="BF4" s="28"/>
      <c r="BG4" s="35" t="s">
        <v>222</v>
      </c>
      <c r="BH4" s="68">
        <v>1.63</v>
      </c>
      <c r="BI4" s="298">
        <v>847</v>
      </c>
      <c r="BJ4" s="35"/>
      <c r="BK4" s="68"/>
      <c r="BL4" s="28"/>
      <c r="BM4" s="35"/>
      <c r="BN4" s="68"/>
      <c r="BO4" s="28"/>
      <c r="BP4" s="35"/>
      <c r="BQ4" s="68"/>
      <c r="BR4" s="28"/>
      <c r="BS4" s="35" t="s">
        <v>222</v>
      </c>
      <c r="BT4" s="68">
        <v>1.63</v>
      </c>
      <c r="BU4" s="298">
        <v>847</v>
      </c>
      <c r="BV4">
        <f>COUNTA(BL4,BI4,BF4,BC4,AW4,AT4,AQ4,AZ4,AN4,AK4,AH4,AE4,Y4,M4,BO4,BR4,BU4,J4)</f>
        <v>4</v>
      </c>
      <c r="BW4" s="65">
        <f>J4</f>
        <v>0</v>
      </c>
      <c r="BX4" s="65">
        <f>M4</f>
        <v>0</v>
      </c>
      <c r="BY4" s="65">
        <f>Y4</f>
        <v>894</v>
      </c>
      <c r="BZ4" s="65">
        <f>AE4</f>
        <v>0</v>
      </c>
      <c r="CA4" s="65">
        <f>AH4</f>
        <v>0</v>
      </c>
      <c r="CB4" s="65">
        <f>AK4</f>
        <v>0</v>
      </c>
      <c r="CC4" s="65">
        <f>AN4</f>
        <v>818</v>
      </c>
      <c r="CD4" s="65">
        <f>AQ4</f>
        <v>0</v>
      </c>
      <c r="CE4" s="65">
        <f>AT4</f>
        <v>0</v>
      </c>
      <c r="CF4" s="65">
        <f>AW4</f>
        <v>0</v>
      </c>
      <c r="CG4" s="65">
        <f>AZ4</f>
        <v>0</v>
      </c>
      <c r="CH4" s="65">
        <f>BC4</f>
        <v>0</v>
      </c>
      <c r="CI4" s="65">
        <f>BF4</f>
        <v>0</v>
      </c>
      <c r="CJ4" s="65">
        <f>BI4</f>
        <v>847</v>
      </c>
      <c r="CK4" s="65">
        <f>BL4</f>
        <v>0</v>
      </c>
      <c r="CL4" s="65">
        <f>BO4</f>
        <v>0</v>
      </c>
      <c r="CM4" s="65">
        <f>BR4</f>
        <v>0</v>
      </c>
      <c r="CN4" s="65">
        <f>BU4</f>
        <v>847</v>
      </c>
      <c r="CO4" s="63">
        <f>LARGE(BW4:CN4,1)</f>
        <v>894</v>
      </c>
      <c r="CP4" s="63">
        <f>LARGE(BW4:CN4,2)</f>
        <v>847</v>
      </c>
      <c r="CQ4" s="63">
        <f>LARGE(BW4:CN4,3)</f>
        <v>847</v>
      </c>
      <c r="CR4" s="63">
        <f>LARGE(BW4:CN4,4)</f>
        <v>818</v>
      </c>
      <c r="CS4" s="63">
        <f>LARGE(BW4:CN4,5)</f>
        <v>0</v>
      </c>
      <c r="CT4" s="2"/>
      <c r="CU4" s="86"/>
      <c r="CV4" s="57"/>
      <c r="CW4" s="2"/>
      <c r="CX4" s="86"/>
      <c r="CY4" s="57"/>
      <c r="CZ4" s="2"/>
      <c r="DA4" s="86"/>
      <c r="DB4" s="57"/>
      <c r="DC4" s="2"/>
      <c r="DD4" s="120"/>
      <c r="DE4" s="57"/>
      <c r="DF4" s="2"/>
      <c r="DG4" s="120"/>
      <c r="DH4" s="57"/>
    </row>
    <row r="5" spans="1:112" ht="15">
      <c r="A5" s="114" t="s">
        <v>5</v>
      </c>
      <c r="B5" s="314" t="s">
        <v>40</v>
      </c>
      <c r="C5" s="270" t="s">
        <v>42</v>
      </c>
      <c r="D5" s="321">
        <v>25</v>
      </c>
      <c r="E5" s="72" t="s">
        <v>39</v>
      </c>
      <c r="F5" s="6">
        <f>SUM(J5,Y5,AN5,BC5,BL5,BU5)</f>
        <v>4977</v>
      </c>
      <c r="G5" s="6">
        <v>3</v>
      </c>
      <c r="H5" s="52" t="s">
        <v>22</v>
      </c>
      <c r="I5" s="68">
        <v>4.2</v>
      </c>
      <c r="J5" s="303">
        <f>SUM(780+25)</f>
        <v>805</v>
      </c>
      <c r="K5" s="35"/>
      <c r="L5" s="30"/>
      <c r="M5" s="55"/>
      <c r="N5" s="49" t="s">
        <v>222</v>
      </c>
      <c r="O5" s="80">
        <v>1.6</v>
      </c>
      <c r="P5" s="55">
        <v>570</v>
      </c>
      <c r="Q5" s="49" t="s">
        <v>44</v>
      </c>
      <c r="R5" s="80">
        <v>6.01</v>
      </c>
      <c r="S5" s="55">
        <v>712</v>
      </c>
      <c r="T5" s="77" t="s">
        <v>217</v>
      </c>
      <c r="U5" s="80">
        <v>3.9</v>
      </c>
      <c r="V5" s="55">
        <v>700</v>
      </c>
      <c r="W5" s="52" t="s">
        <v>217</v>
      </c>
      <c r="X5" s="68">
        <v>4.2</v>
      </c>
      <c r="Y5" s="307">
        <f>SUM(780+25)</f>
        <v>805</v>
      </c>
      <c r="Z5" s="49"/>
      <c r="AA5" s="80"/>
      <c r="AB5" s="100"/>
      <c r="AC5" s="35"/>
      <c r="AD5" s="68"/>
      <c r="AE5" s="36"/>
      <c r="AF5" s="35"/>
      <c r="AG5" s="68"/>
      <c r="AH5" s="36"/>
      <c r="AI5" s="35"/>
      <c r="AJ5" s="30"/>
      <c r="AK5" s="38"/>
      <c r="AL5" s="35" t="s">
        <v>217</v>
      </c>
      <c r="AM5" s="68">
        <v>4.3</v>
      </c>
      <c r="AN5" s="254">
        <f>SUM(806+25)</f>
        <v>831</v>
      </c>
      <c r="AO5" s="35"/>
      <c r="AP5" s="68"/>
      <c r="AQ5" s="38"/>
      <c r="AR5" s="35"/>
      <c r="AS5" s="68"/>
      <c r="AT5" s="38"/>
      <c r="AU5" s="35" t="s">
        <v>297</v>
      </c>
      <c r="AV5" s="30">
        <v>3.85</v>
      </c>
      <c r="AW5" s="38">
        <v>687</v>
      </c>
      <c r="AX5" s="35"/>
      <c r="AY5" s="68"/>
      <c r="AZ5" s="28"/>
      <c r="BA5" s="35" t="s">
        <v>340</v>
      </c>
      <c r="BB5" s="68">
        <v>4.2</v>
      </c>
      <c r="BC5" s="304">
        <f>SUM(780+25)</f>
        <v>805</v>
      </c>
      <c r="BD5" s="35"/>
      <c r="BE5" s="68"/>
      <c r="BF5" s="28"/>
      <c r="BG5" s="35" t="s">
        <v>18</v>
      </c>
      <c r="BH5" s="68">
        <v>5.61</v>
      </c>
      <c r="BI5" s="28">
        <v>629</v>
      </c>
      <c r="BJ5" s="35" t="s">
        <v>401</v>
      </c>
      <c r="BK5" s="68">
        <v>4.41</v>
      </c>
      <c r="BL5" s="304">
        <f>SUM(835+25)</f>
        <v>860</v>
      </c>
      <c r="BM5" s="35"/>
      <c r="BN5" s="68"/>
      <c r="BO5" s="28"/>
      <c r="BP5" s="35"/>
      <c r="BQ5" s="68"/>
      <c r="BR5" s="28"/>
      <c r="BS5" s="35" t="s">
        <v>340</v>
      </c>
      <c r="BT5" s="68">
        <v>4.45</v>
      </c>
      <c r="BU5" s="304">
        <f>SUM(846+25)</f>
        <v>871</v>
      </c>
      <c r="BV5">
        <f>COUNTA(BL5,BI5,BF5,BC5,AW5,AT5,AQ5,AZ5,AN5,AK5,AH5,AE5,Y5,M5,BO5,BR5,BU5,J5)</f>
        <v>8</v>
      </c>
      <c r="BW5" s="65">
        <f>J5</f>
        <v>805</v>
      </c>
      <c r="BX5" s="65">
        <f>M5</f>
        <v>0</v>
      </c>
      <c r="BY5" s="65">
        <f>Y5</f>
        <v>805</v>
      </c>
      <c r="BZ5" s="65">
        <f>AE5</f>
        <v>0</v>
      </c>
      <c r="CA5" s="65">
        <f>AH5</f>
        <v>0</v>
      </c>
      <c r="CB5" s="65">
        <f>AK5</f>
        <v>0</v>
      </c>
      <c r="CC5" s="65">
        <f>AN5</f>
        <v>831</v>
      </c>
      <c r="CD5" s="65">
        <f>AQ5</f>
        <v>0</v>
      </c>
      <c r="CE5" s="65">
        <f>AT5</f>
        <v>0</v>
      </c>
      <c r="CF5" s="65">
        <f>AW5</f>
        <v>687</v>
      </c>
      <c r="CG5" s="65">
        <f>AZ5</f>
        <v>0</v>
      </c>
      <c r="CH5" s="65">
        <f>BC5</f>
        <v>805</v>
      </c>
      <c r="CI5" s="65">
        <f>BF5</f>
        <v>0</v>
      </c>
      <c r="CJ5" s="65">
        <f>BI5</f>
        <v>629</v>
      </c>
      <c r="CK5" s="65">
        <f>BL5</f>
        <v>860</v>
      </c>
      <c r="CL5" s="65">
        <f>BO5</f>
        <v>0</v>
      </c>
      <c r="CM5" s="65">
        <f>BR5</f>
        <v>0</v>
      </c>
      <c r="CN5" s="65">
        <f>BU5</f>
        <v>871</v>
      </c>
      <c r="CO5" s="63">
        <f>LARGE(BW5:CN5,1)</f>
        <v>871</v>
      </c>
      <c r="CP5" s="63">
        <f>LARGE(BW5:CN5,2)</f>
        <v>860</v>
      </c>
      <c r="CQ5" s="63">
        <f>LARGE(BW5:CN5,3)</f>
        <v>831</v>
      </c>
      <c r="CR5" s="63">
        <f>LARGE(BW5:CN5,4)</f>
        <v>805</v>
      </c>
      <c r="CS5" s="63">
        <f>LARGE(BW5:CN5,5)</f>
        <v>805</v>
      </c>
      <c r="CT5" s="2"/>
      <c r="CU5" s="86"/>
      <c r="CV5" s="57"/>
      <c r="CW5" s="2"/>
      <c r="CX5" s="86"/>
      <c r="CY5" s="57"/>
      <c r="CZ5" s="2"/>
      <c r="DA5" s="86"/>
      <c r="DB5" s="57"/>
      <c r="DC5" s="2"/>
      <c r="DD5" s="120"/>
      <c r="DE5" s="57"/>
      <c r="DF5" s="2"/>
      <c r="DG5" s="120"/>
      <c r="DH5" s="57"/>
    </row>
    <row r="6" spans="1:112" ht="15">
      <c r="A6" s="313" t="s">
        <v>15</v>
      </c>
      <c r="B6" s="315" t="s">
        <v>54</v>
      </c>
      <c r="C6" s="338" t="s">
        <v>42</v>
      </c>
      <c r="D6" s="322"/>
      <c r="E6" s="12" t="s">
        <v>11</v>
      </c>
      <c r="F6" s="6">
        <f>SUM(J6,Y6,AQ6,BI6,BL6,DH6)</f>
        <v>4757</v>
      </c>
      <c r="G6" s="12">
        <v>4</v>
      </c>
      <c r="H6" s="52" t="s">
        <v>44</v>
      </c>
      <c r="I6" s="30">
        <v>6.22</v>
      </c>
      <c r="J6" s="303">
        <f>SUM(756+25)</f>
        <v>781</v>
      </c>
      <c r="K6" s="35"/>
      <c r="L6" s="30"/>
      <c r="M6" s="55"/>
      <c r="N6" s="49" t="s">
        <v>222</v>
      </c>
      <c r="O6" s="80">
        <v>1.6</v>
      </c>
      <c r="P6" s="55">
        <v>570</v>
      </c>
      <c r="Q6" s="49"/>
      <c r="R6" s="80"/>
      <c r="S6" s="55"/>
      <c r="T6" s="77" t="s">
        <v>217</v>
      </c>
      <c r="U6" s="80">
        <v>3.9</v>
      </c>
      <c r="V6" s="55">
        <v>700</v>
      </c>
      <c r="W6" s="52" t="s">
        <v>44</v>
      </c>
      <c r="X6" s="30">
        <v>6.33</v>
      </c>
      <c r="Y6" s="307">
        <f>SUM(786+25)</f>
        <v>811</v>
      </c>
      <c r="Z6" s="49"/>
      <c r="AA6" s="80"/>
      <c r="AB6" s="100"/>
      <c r="AC6" s="35" t="s">
        <v>223</v>
      </c>
      <c r="AD6" s="68">
        <v>1.55</v>
      </c>
      <c r="AE6" s="36">
        <v>527</v>
      </c>
      <c r="AF6" s="35" t="s">
        <v>44</v>
      </c>
      <c r="AG6" s="68">
        <v>6.05</v>
      </c>
      <c r="AH6" s="36">
        <v>721</v>
      </c>
      <c r="AI6" s="35"/>
      <c r="AJ6" s="30"/>
      <c r="AK6" s="38"/>
      <c r="AL6" s="35" t="s">
        <v>223</v>
      </c>
      <c r="AM6" s="68">
        <v>1.65</v>
      </c>
      <c r="AN6" s="38">
        <v>612</v>
      </c>
      <c r="AO6" s="35" t="s">
        <v>217</v>
      </c>
      <c r="AP6" s="68">
        <v>4.1</v>
      </c>
      <c r="AQ6" s="254">
        <f>SUM(753+25)</f>
        <v>778</v>
      </c>
      <c r="AR6" s="35"/>
      <c r="AS6" s="68"/>
      <c r="AT6" s="38"/>
      <c r="AU6" s="35"/>
      <c r="AV6" s="30"/>
      <c r="AW6" s="38"/>
      <c r="AX6" s="35"/>
      <c r="AY6" s="68"/>
      <c r="AZ6" s="28"/>
      <c r="BA6" s="35"/>
      <c r="BB6" s="68"/>
      <c r="BC6" s="28"/>
      <c r="BD6" s="25"/>
      <c r="BE6" s="68"/>
      <c r="BF6" s="36"/>
      <c r="BG6" s="35" t="s">
        <v>18</v>
      </c>
      <c r="BH6" s="68">
        <v>6.29</v>
      </c>
      <c r="BI6" s="304">
        <f>SUM(771+25)</f>
        <v>796</v>
      </c>
      <c r="BJ6" s="35" t="s">
        <v>222</v>
      </c>
      <c r="BK6" s="68">
        <v>1.79</v>
      </c>
      <c r="BL6" s="304">
        <f>SUM(732+25)</f>
        <v>757</v>
      </c>
      <c r="BM6" s="35" t="s">
        <v>340</v>
      </c>
      <c r="BN6" s="68">
        <v>3.8</v>
      </c>
      <c r="BO6" s="28">
        <v>674</v>
      </c>
      <c r="BP6" s="35"/>
      <c r="BQ6" s="68"/>
      <c r="BR6" s="28"/>
      <c r="BS6" s="35" t="s">
        <v>340</v>
      </c>
      <c r="BT6" s="68">
        <v>3.7</v>
      </c>
      <c r="BU6" s="28">
        <v>648</v>
      </c>
      <c r="BV6">
        <f>COUNTA(BL6,BI6,BF6,BC6,AW6,AT6,AQ6,AZ6,AN6,AK6,AH6,AE6,Y6,M6,BO6,BR6,BU6,J6)</f>
        <v>10</v>
      </c>
      <c r="BW6" s="65">
        <f>J6</f>
        <v>781</v>
      </c>
      <c r="BX6" s="65">
        <f>M6</f>
        <v>0</v>
      </c>
      <c r="BY6" s="65">
        <f>Y6</f>
        <v>811</v>
      </c>
      <c r="BZ6" s="65">
        <f>AE6</f>
        <v>527</v>
      </c>
      <c r="CA6" s="65">
        <f>AH6</f>
        <v>721</v>
      </c>
      <c r="CB6" s="65">
        <f>AK6</f>
        <v>0</v>
      </c>
      <c r="CC6" s="65">
        <f>AN6</f>
        <v>612</v>
      </c>
      <c r="CD6" s="65">
        <f>AQ6</f>
        <v>778</v>
      </c>
      <c r="CE6" s="65">
        <f>AT6</f>
        <v>0</v>
      </c>
      <c r="CF6" s="65">
        <f>AW6</f>
        <v>0</v>
      </c>
      <c r="CG6" s="65">
        <f>AZ6</f>
        <v>0</v>
      </c>
      <c r="CH6" s="65">
        <f>BC6</f>
        <v>0</v>
      </c>
      <c r="CI6" s="65">
        <f>BF6</f>
        <v>0</v>
      </c>
      <c r="CJ6" s="65">
        <f>BI6</f>
        <v>796</v>
      </c>
      <c r="CK6" s="65">
        <f>BL6</f>
        <v>757</v>
      </c>
      <c r="CL6" s="65">
        <f>BO6</f>
        <v>674</v>
      </c>
      <c r="CM6" s="65">
        <f>BR6</f>
        <v>0</v>
      </c>
      <c r="CN6" s="65">
        <f>BU6</f>
        <v>648</v>
      </c>
      <c r="CO6" s="63">
        <f>LARGE(BW6:CN6,1)</f>
        <v>811</v>
      </c>
      <c r="CP6" s="63">
        <f>LARGE(BW6:CN6,2)</f>
        <v>796</v>
      </c>
      <c r="CQ6" s="63">
        <f>LARGE(BW6:CN6,3)</f>
        <v>781</v>
      </c>
      <c r="CR6" s="63">
        <f>LARGE(BW6:CN6,4)</f>
        <v>778</v>
      </c>
      <c r="CS6" s="63">
        <f>LARGE(BW6:CN6,5)</f>
        <v>757</v>
      </c>
      <c r="CT6" s="2"/>
      <c r="CU6" s="86"/>
      <c r="CV6" s="57"/>
      <c r="CW6" s="2"/>
      <c r="CX6" s="86"/>
      <c r="CY6" s="57"/>
      <c r="CZ6" s="2"/>
      <c r="DA6" s="86"/>
      <c r="DB6" s="57"/>
      <c r="DC6" s="2" t="s">
        <v>222</v>
      </c>
      <c r="DD6" s="120">
        <v>1.74</v>
      </c>
      <c r="DE6" s="57">
        <v>689</v>
      </c>
      <c r="DF6" s="2" t="s">
        <v>18</v>
      </c>
      <c r="DG6" s="120">
        <v>6.47</v>
      </c>
      <c r="DH6" s="13">
        <f>SUM(809+25)</f>
        <v>834</v>
      </c>
    </row>
    <row r="7" spans="1:112" ht="15">
      <c r="A7" s="294" t="s">
        <v>1</v>
      </c>
      <c r="B7" s="205" t="s">
        <v>43</v>
      </c>
      <c r="C7" s="295" t="s">
        <v>42</v>
      </c>
      <c r="D7" s="296">
        <v>25</v>
      </c>
      <c r="E7" s="261" t="s">
        <v>39</v>
      </c>
      <c r="F7" s="261">
        <f>SUM(J7,P7,S7,AB7,AE7,AH7)</f>
        <v>4525</v>
      </c>
      <c r="G7" s="261">
        <v>5</v>
      </c>
      <c r="H7" s="52" t="s">
        <v>44</v>
      </c>
      <c r="I7" s="30">
        <v>4.81</v>
      </c>
      <c r="J7" s="291">
        <f>SUM(734+25)</f>
        <v>759</v>
      </c>
      <c r="K7" s="35"/>
      <c r="L7" s="30"/>
      <c r="M7" s="55"/>
      <c r="N7" s="49" t="s">
        <v>222</v>
      </c>
      <c r="O7" s="80">
        <v>1.45</v>
      </c>
      <c r="P7" s="292">
        <f>SUM(677+25)</f>
        <v>702</v>
      </c>
      <c r="Q7" s="49" t="s">
        <v>18</v>
      </c>
      <c r="R7" s="80">
        <v>5.05</v>
      </c>
      <c r="S7" s="292">
        <f>SUM(785+25)</f>
        <v>810</v>
      </c>
      <c r="T7" s="77"/>
      <c r="U7" s="80"/>
      <c r="V7" s="55"/>
      <c r="W7" s="52" t="s">
        <v>223</v>
      </c>
      <c r="X7" s="30">
        <v>1.45</v>
      </c>
      <c r="Y7" s="71">
        <v>630</v>
      </c>
      <c r="Z7" s="49" t="s">
        <v>18</v>
      </c>
      <c r="AA7" s="80">
        <v>4.91</v>
      </c>
      <c r="AB7" s="293">
        <f>SUM(755+25)</f>
        <v>780</v>
      </c>
      <c r="AC7" s="35" t="s">
        <v>223</v>
      </c>
      <c r="AD7" s="68">
        <v>1.45</v>
      </c>
      <c r="AE7" s="260">
        <f>SUM(677+25)</f>
        <v>702</v>
      </c>
      <c r="AF7" s="35" t="s">
        <v>44</v>
      </c>
      <c r="AG7" s="68">
        <v>4.87</v>
      </c>
      <c r="AH7" s="260">
        <f>SUM(747+25)</f>
        <v>772</v>
      </c>
      <c r="AI7" s="35"/>
      <c r="AJ7" s="30"/>
      <c r="AK7" s="38"/>
      <c r="AL7" s="35" t="s">
        <v>223</v>
      </c>
      <c r="AM7" s="68">
        <v>1.4</v>
      </c>
      <c r="AN7" s="38">
        <v>630</v>
      </c>
      <c r="AO7" s="35"/>
      <c r="AP7" s="68"/>
      <c r="AQ7" s="38"/>
      <c r="AR7" s="35"/>
      <c r="AS7" s="68"/>
      <c r="AT7" s="38"/>
      <c r="AU7" s="35"/>
      <c r="AV7" s="30"/>
      <c r="AW7" s="38"/>
      <c r="AX7" s="35"/>
      <c r="AY7" s="68"/>
      <c r="AZ7" s="28"/>
      <c r="BA7" s="35" t="s">
        <v>222</v>
      </c>
      <c r="BB7" s="68">
        <v>1.4</v>
      </c>
      <c r="BC7" s="28">
        <v>630</v>
      </c>
      <c r="BD7" s="35"/>
      <c r="BE7" s="68"/>
      <c r="BF7" s="28"/>
      <c r="BG7" s="35"/>
      <c r="BH7" s="68"/>
      <c r="BI7" s="28"/>
      <c r="BJ7" s="35"/>
      <c r="BK7" s="68"/>
      <c r="BL7" s="28"/>
      <c r="BM7" s="35"/>
      <c r="BN7" s="68"/>
      <c r="BO7" s="28"/>
      <c r="BP7" s="35"/>
      <c r="BQ7" s="68"/>
      <c r="BR7" s="28"/>
      <c r="BS7" s="35"/>
      <c r="BT7" s="68"/>
      <c r="BU7" s="28"/>
      <c r="BV7">
        <f>COUNTA(BL7,BI7,BF7,BC7,AW7,AT7,AQ7,AZ7,AN7,AK7,AH7,AE7,Y7,M7,BO7,BR7,BU7,J7)</f>
        <v>6</v>
      </c>
      <c r="BW7" s="65">
        <f>J7</f>
        <v>759</v>
      </c>
      <c r="BX7" s="65">
        <f>M7</f>
        <v>0</v>
      </c>
      <c r="BY7" s="65">
        <f>Y7</f>
        <v>630</v>
      </c>
      <c r="BZ7" s="65">
        <f>AE7</f>
        <v>702</v>
      </c>
      <c r="CA7" s="65">
        <f>AH7</f>
        <v>772</v>
      </c>
      <c r="CB7" s="65">
        <f>AK7</f>
        <v>0</v>
      </c>
      <c r="CC7" s="65">
        <f>AN7</f>
        <v>630</v>
      </c>
      <c r="CD7" s="65">
        <f>AQ7</f>
        <v>0</v>
      </c>
      <c r="CE7" s="65">
        <f>AT7</f>
        <v>0</v>
      </c>
      <c r="CF7" s="65">
        <f>AW7</f>
        <v>0</v>
      </c>
      <c r="CG7" s="65">
        <f>AZ7</f>
        <v>0</v>
      </c>
      <c r="CH7" s="65">
        <f>BC7</f>
        <v>630</v>
      </c>
      <c r="CI7" s="65">
        <f>BF7</f>
        <v>0</v>
      </c>
      <c r="CJ7" s="65">
        <f>BI7</f>
        <v>0</v>
      </c>
      <c r="CK7" s="65">
        <f>BL7</f>
        <v>0</v>
      </c>
      <c r="CL7" s="65">
        <f>BO7</f>
        <v>0</v>
      </c>
      <c r="CM7" s="65">
        <f>BR7</f>
        <v>0</v>
      </c>
      <c r="CN7" s="65">
        <f>BU7</f>
        <v>0</v>
      </c>
      <c r="CO7" s="63">
        <f>LARGE(BW7:CN7,1)</f>
        <v>772</v>
      </c>
      <c r="CP7" s="63">
        <f>LARGE(BW7:CN7,2)</f>
        <v>759</v>
      </c>
      <c r="CQ7" s="63">
        <f>LARGE(BW7:CN7,3)</f>
        <v>702</v>
      </c>
      <c r="CR7" s="63">
        <f>LARGE(BW7:CN7,4)</f>
        <v>630</v>
      </c>
      <c r="CS7" s="63">
        <f>LARGE(BW7:CN7,5)</f>
        <v>630</v>
      </c>
      <c r="CT7" s="2"/>
      <c r="CU7" s="86"/>
      <c r="CV7" s="57"/>
      <c r="CW7" s="2"/>
      <c r="CX7" s="86"/>
      <c r="CY7" s="57"/>
      <c r="CZ7" s="2"/>
      <c r="DA7" s="86"/>
      <c r="DB7" s="57"/>
      <c r="DC7" s="2"/>
      <c r="DD7" s="120"/>
      <c r="DE7" s="57"/>
      <c r="DF7" s="2"/>
      <c r="DG7" s="120"/>
      <c r="DH7" s="57"/>
    </row>
    <row r="8" spans="1:112" ht="15">
      <c r="A8" s="300" t="s">
        <v>14</v>
      </c>
      <c r="B8" s="301" t="s">
        <v>67</v>
      </c>
      <c r="C8" s="295" t="s">
        <v>47</v>
      </c>
      <c r="D8" s="296"/>
      <c r="E8" s="261" t="s">
        <v>11</v>
      </c>
      <c r="F8" s="261">
        <f>SUM(S8,Y8,BL8,BO8,BU8,CV8)</f>
        <v>4365</v>
      </c>
      <c r="G8" s="261">
        <v>6</v>
      </c>
      <c r="H8" s="52"/>
      <c r="I8" s="30"/>
      <c r="J8" s="99"/>
      <c r="K8" s="35"/>
      <c r="L8" s="30"/>
      <c r="M8" s="55"/>
      <c r="N8" s="49" t="s">
        <v>222</v>
      </c>
      <c r="O8" s="80">
        <v>1.3</v>
      </c>
      <c r="P8" s="55">
        <v>538</v>
      </c>
      <c r="Q8" s="49" t="s">
        <v>18</v>
      </c>
      <c r="R8" s="80">
        <v>4.64</v>
      </c>
      <c r="S8" s="292">
        <f>SUM(699+50)</f>
        <v>749</v>
      </c>
      <c r="T8" s="77"/>
      <c r="U8" s="80"/>
      <c r="V8" s="55"/>
      <c r="W8" s="52" t="s">
        <v>44</v>
      </c>
      <c r="X8" s="30">
        <v>4.66</v>
      </c>
      <c r="Y8" s="297">
        <f>SUM(703+50)</f>
        <v>753</v>
      </c>
      <c r="Z8" s="49"/>
      <c r="AA8" s="80"/>
      <c r="AB8" s="100"/>
      <c r="AC8" s="35"/>
      <c r="AD8" s="68"/>
      <c r="AE8" s="36"/>
      <c r="AF8" s="35"/>
      <c r="AG8" s="68"/>
      <c r="AH8" s="36"/>
      <c r="AI8" s="35"/>
      <c r="AJ8" s="30"/>
      <c r="AK8" s="38"/>
      <c r="AL8" s="35"/>
      <c r="AM8" s="68"/>
      <c r="AN8" s="38"/>
      <c r="AO8" s="35"/>
      <c r="AP8" s="68"/>
      <c r="AQ8" s="38"/>
      <c r="AR8" s="35"/>
      <c r="AS8" s="68"/>
      <c r="AT8" s="38"/>
      <c r="AU8" s="35"/>
      <c r="AV8" s="30"/>
      <c r="AW8" s="38"/>
      <c r="AX8" s="35"/>
      <c r="AY8" s="68"/>
      <c r="AZ8" s="28"/>
      <c r="BA8" s="35"/>
      <c r="BB8" s="68"/>
      <c r="BC8" s="28"/>
      <c r="BD8" s="35"/>
      <c r="BE8" s="68"/>
      <c r="BF8" s="28"/>
      <c r="BG8" s="35" t="s">
        <v>222</v>
      </c>
      <c r="BH8" s="68">
        <v>1.35</v>
      </c>
      <c r="BI8" s="28">
        <v>584</v>
      </c>
      <c r="BJ8" s="35" t="s">
        <v>18</v>
      </c>
      <c r="BK8" s="68">
        <v>5.89</v>
      </c>
      <c r="BL8" s="298">
        <f>SUM(687+50)</f>
        <v>737</v>
      </c>
      <c r="BM8" s="35" t="s">
        <v>44</v>
      </c>
      <c r="BN8" s="68">
        <v>4.57</v>
      </c>
      <c r="BO8" s="298">
        <f>SUM(684+50)</f>
        <v>734</v>
      </c>
      <c r="BP8" s="35"/>
      <c r="BQ8" s="68"/>
      <c r="BR8" s="28"/>
      <c r="BS8" s="35" t="s">
        <v>18</v>
      </c>
      <c r="BT8" s="68">
        <v>4.33</v>
      </c>
      <c r="BU8" s="298">
        <f>SUM(634+50)</f>
        <v>684</v>
      </c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3"/>
      <c r="CP8" s="63"/>
      <c r="CQ8" s="63"/>
      <c r="CR8" s="63"/>
      <c r="CS8" s="63"/>
      <c r="CT8" s="2" t="s">
        <v>326</v>
      </c>
      <c r="CU8" s="86">
        <v>9.51</v>
      </c>
      <c r="CV8" s="299">
        <f>SUM(658+50)</f>
        <v>708</v>
      </c>
      <c r="CW8" s="2"/>
      <c r="CX8" s="86"/>
      <c r="CY8" s="57"/>
      <c r="CZ8" s="2"/>
      <c r="DA8" s="86"/>
      <c r="DB8" s="57"/>
      <c r="DC8" s="2"/>
      <c r="DD8" s="120"/>
      <c r="DE8" s="57"/>
      <c r="DF8" s="2"/>
      <c r="DG8" s="120"/>
      <c r="DH8" s="57"/>
    </row>
    <row r="9" spans="1:112" ht="15">
      <c r="A9" s="300" t="s">
        <v>45</v>
      </c>
      <c r="B9" s="301" t="s">
        <v>46</v>
      </c>
      <c r="C9" s="295" t="s">
        <v>47</v>
      </c>
      <c r="D9" s="320"/>
      <c r="E9" s="261" t="s">
        <v>11</v>
      </c>
      <c r="F9" s="261">
        <f>SUM(M9,S9,Y9,BI9,BR9,BU9)</f>
        <v>4257</v>
      </c>
      <c r="G9" s="262">
        <v>7</v>
      </c>
      <c r="H9" s="52" t="s">
        <v>18</v>
      </c>
      <c r="I9" s="30">
        <v>4.65</v>
      </c>
      <c r="J9" s="99">
        <v>701</v>
      </c>
      <c r="K9" s="35" t="s">
        <v>62</v>
      </c>
      <c r="L9" s="30">
        <v>9.16</v>
      </c>
      <c r="M9" s="292">
        <f>SUM(624+50)</f>
        <v>674</v>
      </c>
      <c r="N9" s="49" t="s">
        <v>222</v>
      </c>
      <c r="O9" s="80">
        <v>1.25</v>
      </c>
      <c r="P9" s="55">
        <v>492</v>
      </c>
      <c r="Q9" s="49" t="s">
        <v>18</v>
      </c>
      <c r="R9" s="80">
        <v>4.57</v>
      </c>
      <c r="S9" s="292">
        <f>SUM(684+50)</f>
        <v>734</v>
      </c>
      <c r="T9" s="77" t="s">
        <v>326</v>
      </c>
      <c r="U9" s="80">
        <v>9</v>
      </c>
      <c r="V9" s="55">
        <v>608</v>
      </c>
      <c r="W9" s="52" t="s">
        <v>44</v>
      </c>
      <c r="X9" s="30">
        <v>4.62</v>
      </c>
      <c r="Y9" s="297">
        <f>SUM(694+50)</f>
        <v>744</v>
      </c>
      <c r="Z9" s="102"/>
      <c r="AA9" s="77"/>
      <c r="AB9" s="100"/>
      <c r="AC9" s="35"/>
      <c r="AD9" s="68"/>
      <c r="AE9" s="36"/>
      <c r="AF9" s="35"/>
      <c r="AG9" s="68"/>
      <c r="AH9" s="36"/>
      <c r="AI9" s="35"/>
      <c r="AJ9" s="30"/>
      <c r="AK9" s="38"/>
      <c r="AL9" s="35"/>
      <c r="AM9" s="68"/>
      <c r="AN9" s="38"/>
      <c r="AO9" s="35"/>
      <c r="AP9" s="68"/>
      <c r="AQ9" s="38"/>
      <c r="AR9" s="35"/>
      <c r="AS9" s="68"/>
      <c r="AT9" s="38"/>
      <c r="AU9" s="35"/>
      <c r="AV9" s="30"/>
      <c r="AW9" s="38"/>
      <c r="AX9" s="35"/>
      <c r="AY9" s="68"/>
      <c r="AZ9" s="28"/>
      <c r="BA9" s="35"/>
      <c r="BB9" s="68"/>
      <c r="BC9" s="28"/>
      <c r="BD9" s="35"/>
      <c r="BE9" s="68"/>
      <c r="BF9" s="28"/>
      <c r="BG9" s="35" t="s">
        <v>44</v>
      </c>
      <c r="BH9" s="68">
        <v>4.49</v>
      </c>
      <c r="BI9" s="298">
        <f>SUM(667+50)</f>
        <v>717</v>
      </c>
      <c r="BJ9" s="35"/>
      <c r="BK9" s="68"/>
      <c r="BL9" s="28"/>
      <c r="BM9" s="35"/>
      <c r="BN9" s="68"/>
      <c r="BO9" s="28"/>
      <c r="BP9" s="35" t="s">
        <v>62</v>
      </c>
      <c r="BQ9" s="68">
        <v>9.06</v>
      </c>
      <c r="BR9" s="298">
        <f>SUM(614+50)</f>
        <v>664</v>
      </c>
      <c r="BS9" s="35"/>
      <c r="BT9" s="68">
        <v>3.8</v>
      </c>
      <c r="BU9" s="298">
        <f>SUM(674+50)</f>
        <v>724</v>
      </c>
      <c r="BV9">
        <f>COUNTA(BL9,BI9,BF9,BC9,AW9,AT9,AQ9,AZ9,AN9,AK9,AH9,AE9,Y9,M9,BO9,BR9,BU9,J9)</f>
        <v>6</v>
      </c>
      <c r="BW9" s="65">
        <f>J9</f>
        <v>701</v>
      </c>
      <c r="BX9" s="65">
        <f>M9</f>
        <v>674</v>
      </c>
      <c r="BY9" s="65">
        <f>Y9</f>
        <v>744</v>
      </c>
      <c r="BZ9" s="65">
        <f>AE9</f>
        <v>0</v>
      </c>
      <c r="CA9" s="65">
        <f>AH9</f>
        <v>0</v>
      </c>
      <c r="CB9" s="65">
        <f>AK9</f>
        <v>0</v>
      </c>
      <c r="CC9" s="65">
        <f>AN9</f>
        <v>0</v>
      </c>
      <c r="CD9" s="65">
        <f>AQ9</f>
        <v>0</v>
      </c>
      <c r="CE9" s="65">
        <f>AT9</f>
        <v>0</v>
      </c>
      <c r="CF9" s="65">
        <f>AW9</f>
        <v>0</v>
      </c>
      <c r="CG9" s="65">
        <f>AZ9</f>
        <v>0</v>
      </c>
      <c r="CH9" s="65">
        <f>BC9</f>
        <v>0</v>
      </c>
      <c r="CI9" s="65">
        <f>BF9</f>
        <v>0</v>
      </c>
      <c r="CJ9" s="65">
        <f>BI9</f>
        <v>717</v>
      </c>
      <c r="CK9" s="65">
        <f>BL9</f>
        <v>0</v>
      </c>
      <c r="CL9" s="65">
        <f>BO9</f>
        <v>0</v>
      </c>
      <c r="CM9" s="65">
        <f>BR9</f>
        <v>664</v>
      </c>
      <c r="CN9" s="65">
        <f>BU9</f>
        <v>724</v>
      </c>
      <c r="CO9" s="63">
        <f>LARGE(BW9:CN9,1)</f>
        <v>744</v>
      </c>
      <c r="CP9" s="63">
        <f>LARGE(BW9:CN9,2)</f>
        <v>724</v>
      </c>
      <c r="CQ9" s="63">
        <f>LARGE(BW9:CN9,3)</f>
        <v>717</v>
      </c>
      <c r="CR9" s="63">
        <f>LARGE(BW9:CN9,4)</f>
        <v>701</v>
      </c>
      <c r="CS9" s="63">
        <f>LARGE(BW9:CN9,5)</f>
        <v>674</v>
      </c>
      <c r="CT9" s="2"/>
      <c r="CU9" s="86"/>
      <c r="CV9" s="57"/>
      <c r="CW9" s="2"/>
      <c r="CX9" s="86"/>
      <c r="CY9" s="57"/>
      <c r="CZ9" s="2"/>
      <c r="DA9" s="86"/>
      <c r="DB9" s="57"/>
      <c r="DC9" s="2"/>
      <c r="DD9" s="120"/>
      <c r="DE9" s="57"/>
      <c r="DF9" s="2"/>
      <c r="DG9" s="120"/>
      <c r="DH9" s="57"/>
    </row>
    <row r="10" spans="1:112" ht="15">
      <c r="A10" s="116" t="s">
        <v>55</v>
      </c>
      <c r="B10" s="116" t="s">
        <v>56</v>
      </c>
      <c r="C10" s="9" t="s">
        <v>35</v>
      </c>
      <c r="D10" s="10">
        <v>50</v>
      </c>
      <c r="E10" s="12" t="s">
        <v>11</v>
      </c>
      <c r="F10" s="6">
        <f>SUM(J10,M10,V10,AH10,AN10,BB24,BR10)</f>
        <v>4217</v>
      </c>
      <c r="G10" s="12">
        <v>8</v>
      </c>
      <c r="H10" s="52" t="s">
        <v>44</v>
      </c>
      <c r="I10" s="30">
        <v>5.72</v>
      </c>
      <c r="J10" s="303">
        <f>SUM(652+50)</f>
        <v>702</v>
      </c>
      <c r="K10" s="35" t="s">
        <v>62</v>
      </c>
      <c r="L10" s="68">
        <v>12.44</v>
      </c>
      <c r="M10" s="302">
        <f>SUM(688+50)</f>
        <v>738</v>
      </c>
      <c r="N10" s="49" t="s">
        <v>222</v>
      </c>
      <c r="O10" s="80">
        <v>1.6</v>
      </c>
      <c r="P10" s="55">
        <v>570</v>
      </c>
      <c r="Q10" s="49" t="s">
        <v>44</v>
      </c>
      <c r="R10" s="80">
        <v>4.99</v>
      </c>
      <c r="S10" s="55">
        <v>500</v>
      </c>
      <c r="T10" s="77" t="s">
        <v>326</v>
      </c>
      <c r="U10" s="333">
        <v>11.94</v>
      </c>
      <c r="V10" s="302">
        <f>SUM(637+50)</f>
        <v>687</v>
      </c>
      <c r="W10" s="52" t="s">
        <v>44</v>
      </c>
      <c r="X10" s="30">
        <v>5.35</v>
      </c>
      <c r="Y10" s="71">
        <v>575</v>
      </c>
      <c r="Z10" s="102"/>
      <c r="AA10" s="77"/>
      <c r="AB10" s="100"/>
      <c r="AC10" s="35" t="s">
        <v>44</v>
      </c>
      <c r="AD10" s="68">
        <v>5.59</v>
      </c>
      <c r="AE10" s="36">
        <f>SUM(624+50)</f>
        <v>674</v>
      </c>
      <c r="AF10" s="35" t="s">
        <v>256</v>
      </c>
      <c r="AG10" s="68">
        <v>11.69</v>
      </c>
      <c r="AH10" s="256">
        <f>SUM(611+50)</f>
        <v>661</v>
      </c>
      <c r="AI10" s="35"/>
      <c r="AJ10" s="30"/>
      <c r="AK10" s="38"/>
      <c r="AL10" s="35" t="s">
        <v>18</v>
      </c>
      <c r="AM10" s="68">
        <v>5.79</v>
      </c>
      <c r="AN10" s="254">
        <f>SUM(666+50)</f>
        <v>716</v>
      </c>
      <c r="AO10" s="35"/>
      <c r="AP10" s="68"/>
      <c r="AQ10" s="38"/>
      <c r="AR10" s="35"/>
      <c r="AS10" s="68"/>
      <c r="AT10" s="38"/>
      <c r="AU10" s="35"/>
      <c r="AV10" s="30"/>
      <c r="AW10" s="38"/>
      <c r="AX10" s="35"/>
      <c r="AY10" s="68"/>
      <c r="AZ10" s="28"/>
      <c r="BA10" s="35" t="s">
        <v>18</v>
      </c>
      <c r="BB10" s="68">
        <v>5.52</v>
      </c>
      <c r="BC10" s="28">
        <v>610</v>
      </c>
      <c r="BD10" s="35"/>
      <c r="BE10" s="68"/>
      <c r="BF10" s="28"/>
      <c r="BG10" s="35" t="s">
        <v>222</v>
      </c>
      <c r="BH10" s="68">
        <v>1.58</v>
      </c>
      <c r="BI10" s="28">
        <v>553</v>
      </c>
      <c r="BJ10" s="35"/>
      <c r="BK10" s="68"/>
      <c r="BL10" s="28"/>
      <c r="BM10" s="35"/>
      <c r="BN10" s="68"/>
      <c r="BO10" s="28"/>
      <c r="BP10" s="35" t="s">
        <v>326</v>
      </c>
      <c r="BQ10" s="68">
        <v>12.2</v>
      </c>
      <c r="BR10" s="304">
        <f>SUM(663+50)</f>
        <v>713</v>
      </c>
      <c r="BS10" s="35"/>
      <c r="BT10" s="68"/>
      <c r="BU10" s="28"/>
      <c r="BV10">
        <f>COUNTA(BL10,BI10,BF10,BC10,AW10,AT10,AQ10,AZ10,AN10,AK10,AH10,AE10,Y10,M10,BO10,BR10,BU10,J10)</f>
        <v>9</v>
      </c>
      <c r="BW10" s="65">
        <f>J10</f>
        <v>702</v>
      </c>
      <c r="BX10" s="65">
        <f>M10</f>
        <v>738</v>
      </c>
      <c r="BY10" s="65">
        <f>Y10</f>
        <v>575</v>
      </c>
      <c r="BZ10" s="65">
        <f>AE10</f>
        <v>674</v>
      </c>
      <c r="CA10" s="65">
        <f>AH10</f>
        <v>661</v>
      </c>
      <c r="CB10" s="65">
        <f>AK10</f>
        <v>0</v>
      </c>
      <c r="CC10" s="65">
        <f>AN10</f>
        <v>716</v>
      </c>
      <c r="CD10" s="65">
        <f>AQ10</f>
        <v>0</v>
      </c>
      <c r="CE10" s="65">
        <f>AT10</f>
        <v>0</v>
      </c>
      <c r="CF10" s="65">
        <f>AW10</f>
        <v>0</v>
      </c>
      <c r="CG10" s="65">
        <f>AZ10</f>
        <v>0</v>
      </c>
      <c r="CH10" s="65">
        <f>BC10</f>
        <v>610</v>
      </c>
      <c r="CI10" s="65">
        <f>BF10</f>
        <v>0</v>
      </c>
      <c r="CJ10" s="65">
        <f>BI10</f>
        <v>553</v>
      </c>
      <c r="CK10" s="65">
        <f>BL10</f>
        <v>0</v>
      </c>
      <c r="CL10" s="65">
        <f>BO10</f>
        <v>0</v>
      </c>
      <c r="CM10" s="65">
        <f>BR10</f>
        <v>713</v>
      </c>
      <c r="CN10" s="65">
        <f>BU10</f>
        <v>0</v>
      </c>
      <c r="CO10" s="63">
        <f>LARGE(BW10:CN10,1)</f>
        <v>738</v>
      </c>
      <c r="CP10" s="63">
        <f>LARGE(BW10:CN10,2)</f>
        <v>716</v>
      </c>
      <c r="CQ10" s="63">
        <f>LARGE(BW10:CN10,3)</f>
        <v>713</v>
      </c>
      <c r="CR10" s="63">
        <f>LARGE(BW10:CN10,4)</f>
        <v>702</v>
      </c>
      <c r="CS10" s="63">
        <f>LARGE(BW10:CN10,5)</f>
        <v>674</v>
      </c>
      <c r="CT10" s="2"/>
      <c r="CU10" s="86"/>
      <c r="CV10" s="57"/>
      <c r="CW10" s="2"/>
      <c r="CX10" s="86"/>
      <c r="CY10" s="57"/>
      <c r="CZ10" s="2"/>
      <c r="DA10" s="86"/>
      <c r="DB10" s="57"/>
      <c r="DC10" s="2"/>
      <c r="DD10" s="120"/>
      <c r="DE10" s="57"/>
      <c r="DF10" s="2"/>
      <c r="DG10" s="120"/>
      <c r="DH10" s="57"/>
    </row>
    <row r="11" spans="1:112" ht="15">
      <c r="A11" s="114" t="s">
        <v>34</v>
      </c>
      <c r="B11" s="114" t="s">
        <v>41</v>
      </c>
      <c r="C11" s="70" t="s">
        <v>35</v>
      </c>
      <c r="D11" s="318"/>
      <c r="E11" s="6" t="s">
        <v>36</v>
      </c>
      <c r="F11" s="6">
        <f>SUM(J11,P11,AW11,BR11,DB11,)</f>
        <v>4189</v>
      </c>
      <c r="G11" s="23">
        <v>9</v>
      </c>
      <c r="H11" s="52" t="s">
        <v>19</v>
      </c>
      <c r="I11" s="68">
        <v>1.8</v>
      </c>
      <c r="J11" s="303">
        <f>SUM(766+50)</f>
        <v>816</v>
      </c>
      <c r="K11" s="35" t="s">
        <v>44</v>
      </c>
      <c r="L11" s="30">
        <v>5.51</v>
      </c>
      <c r="M11" s="55">
        <v>608</v>
      </c>
      <c r="N11" s="49" t="s">
        <v>222</v>
      </c>
      <c r="O11" s="80">
        <v>1.85</v>
      </c>
      <c r="P11" s="302">
        <f>SUM(784+50)</f>
        <v>834</v>
      </c>
      <c r="Q11" s="49" t="s">
        <v>44</v>
      </c>
      <c r="R11" s="80">
        <v>5.35</v>
      </c>
      <c r="S11" s="55">
        <v>575</v>
      </c>
      <c r="T11" s="77" t="s">
        <v>295</v>
      </c>
      <c r="U11" s="80">
        <v>11.7</v>
      </c>
      <c r="V11" s="55">
        <v>612</v>
      </c>
      <c r="W11" s="52" t="s">
        <v>223</v>
      </c>
      <c r="X11" s="30">
        <v>1.74</v>
      </c>
      <c r="Y11" s="71">
        <v>689</v>
      </c>
      <c r="Z11" s="102"/>
      <c r="AA11" s="77"/>
      <c r="AB11" s="100"/>
      <c r="AC11" s="35" t="s">
        <v>223</v>
      </c>
      <c r="AD11" s="68">
        <v>1.7</v>
      </c>
      <c r="AE11" s="36">
        <v>655</v>
      </c>
      <c r="AF11" s="35" t="s">
        <v>44</v>
      </c>
      <c r="AG11" s="68">
        <v>5.66</v>
      </c>
      <c r="AH11" s="36">
        <v>618</v>
      </c>
      <c r="AI11" s="35" t="s">
        <v>256</v>
      </c>
      <c r="AJ11" s="30">
        <v>12.36</v>
      </c>
      <c r="AK11" s="38">
        <v>680</v>
      </c>
      <c r="AL11" s="35" t="s">
        <v>223</v>
      </c>
      <c r="AM11" s="68">
        <v>1.85</v>
      </c>
      <c r="AN11" s="254">
        <f>SUM(784+50)</f>
        <v>834</v>
      </c>
      <c r="AO11" s="35" t="s">
        <v>44</v>
      </c>
      <c r="AP11" s="68">
        <v>5.25</v>
      </c>
      <c r="AQ11" s="38">
        <v>554</v>
      </c>
      <c r="AR11" s="35"/>
      <c r="AS11" s="68"/>
      <c r="AT11" s="38"/>
      <c r="AU11" s="35" t="s">
        <v>222</v>
      </c>
      <c r="AV11" s="30">
        <v>1.86</v>
      </c>
      <c r="AW11" s="254">
        <f>SUM(792+50)</f>
        <v>842</v>
      </c>
      <c r="AX11" s="35" t="s">
        <v>222</v>
      </c>
      <c r="AY11" s="68">
        <v>1.73</v>
      </c>
      <c r="AZ11" s="28">
        <v>680</v>
      </c>
      <c r="BA11" s="35" t="s">
        <v>222</v>
      </c>
      <c r="BB11" s="68">
        <v>1.8</v>
      </c>
      <c r="BC11" s="28">
        <v>741</v>
      </c>
      <c r="BD11" s="35" t="s">
        <v>326</v>
      </c>
      <c r="BE11" s="68">
        <v>11.58</v>
      </c>
      <c r="BF11" s="28">
        <v>600</v>
      </c>
      <c r="BG11" s="35" t="s">
        <v>222</v>
      </c>
      <c r="BH11" s="68">
        <v>1.79</v>
      </c>
      <c r="BI11" s="28">
        <v>732</v>
      </c>
      <c r="BJ11" s="35" t="s">
        <v>18</v>
      </c>
      <c r="BK11" s="68">
        <v>5.17</v>
      </c>
      <c r="BL11" s="28">
        <v>537</v>
      </c>
      <c r="BM11" s="35"/>
      <c r="BN11" s="68"/>
      <c r="BO11" s="28"/>
      <c r="BP11" s="35" t="s">
        <v>326</v>
      </c>
      <c r="BQ11" s="68">
        <v>13.38</v>
      </c>
      <c r="BR11" s="304">
        <f>SUM(805+50)</f>
        <v>855</v>
      </c>
      <c r="BS11" s="35"/>
      <c r="BT11" s="68"/>
      <c r="BU11" s="28"/>
      <c r="BV11">
        <f>COUNTA(BL11,BI11,BF11,BC11,AW11,AT11,AQ11,AZ11,AN11,AK11,AH11,AE11,Y11,M11,BO11,BR11,BU11,J11)</f>
        <v>15</v>
      </c>
      <c r="BW11" s="65">
        <f>J11</f>
        <v>816</v>
      </c>
      <c r="BX11" s="65">
        <f>M11</f>
        <v>608</v>
      </c>
      <c r="BY11" s="65">
        <f>Y11</f>
        <v>689</v>
      </c>
      <c r="BZ11" s="65">
        <f>AE11</f>
        <v>655</v>
      </c>
      <c r="CA11" s="65">
        <f>AH11</f>
        <v>618</v>
      </c>
      <c r="CB11" s="65">
        <f>AK11</f>
        <v>680</v>
      </c>
      <c r="CC11" s="65">
        <f>AN11</f>
        <v>834</v>
      </c>
      <c r="CD11" s="65">
        <f>AQ11</f>
        <v>554</v>
      </c>
      <c r="CE11" s="65">
        <f>AT11</f>
        <v>0</v>
      </c>
      <c r="CF11" s="65">
        <f>AW11</f>
        <v>842</v>
      </c>
      <c r="CG11" s="65">
        <f>AZ11</f>
        <v>680</v>
      </c>
      <c r="CH11" s="65">
        <f>BC11</f>
        <v>741</v>
      </c>
      <c r="CI11" s="65">
        <f>BF11</f>
        <v>600</v>
      </c>
      <c r="CJ11" s="65">
        <f>BI11</f>
        <v>732</v>
      </c>
      <c r="CK11" s="65">
        <f>BL11</f>
        <v>537</v>
      </c>
      <c r="CL11" s="65">
        <f>BO11</f>
        <v>0</v>
      </c>
      <c r="CM11" s="65">
        <f>BR11</f>
        <v>855</v>
      </c>
      <c r="CN11" s="65">
        <f>BU11</f>
        <v>0</v>
      </c>
      <c r="CO11" s="63">
        <f>LARGE(BW11:CN11,1)</f>
        <v>855</v>
      </c>
      <c r="CP11" s="63">
        <f>LARGE(BW11:CN11,2)</f>
        <v>842</v>
      </c>
      <c r="CQ11" s="63">
        <f>LARGE(BW11:CN11,3)</f>
        <v>834</v>
      </c>
      <c r="CR11" s="63">
        <f>LARGE(BW11:CN11,4)</f>
        <v>816</v>
      </c>
      <c r="CS11" s="63">
        <f>LARGE(BW11:CN11,5)</f>
        <v>741</v>
      </c>
      <c r="CT11" s="2"/>
      <c r="CU11" s="86"/>
      <c r="CV11" s="57"/>
      <c r="CW11" s="2"/>
      <c r="CX11" s="86"/>
      <c r="CY11" s="57"/>
      <c r="CZ11" s="2" t="s">
        <v>222</v>
      </c>
      <c r="DA11" s="86">
        <v>1.86</v>
      </c>
      <c r="DB11" s="13">
        <f>SUM(792+50)</f>
        <v>842</v>
      </c>
      <c r="DC11" s="2"/>
      <c r="DD11" s="120"/>
      <c r="DE11" s="57"/>
      <c r="DF11" s="2"/>
      <c r="DG11" s="120"/>
      <c r="DH11" s="57"/>
    </row>
    <row r="12" spans="1:112" ht="15">
      <c r="A12" s="117" t="s">
        <v>229</v>
      </c>
      <c r="B12" s="117" t="s">
        <v>230</v>
      </c>
      <c r="C12" s="316" t="s">
        <v>104</v>
      </c>
      <c r="D12" s="316"/>
      <c r="E12" s="13" t="s">
        <v>11</v>
      </c>
      <c r="F12" s="290">
        <f>SUM(V12,AH12,AQ12,BI12,BR12,S12)</f>
        <v>3533</v>
      </c>
      <c r="G12" s="323">
        <v>10</v>
      </c>
      <c r="H12" s="62"/>
      <c r="I12" s="87"/>
      <c r="J12" s="98"/>
      <c r="K12" s="25"/>
      <c r="L12" s="3"/>
      <c r="M12" s="75"/>
      <c r="N12" s="78" t="s">
        <v>44</v>
      </c>
      <c r="O12" s="80">
        <v>5.29</v>
      </c>
      <c r="P12" s="75">
        <v>562</v>
      </c>
      <c r="Q12" s="78" t="s">
        <v>223</v>
      </c>
      <c r="R12" s="79">
        <v>1.6</v>
      </c>
      <c r="S12" s="289">
        <v>570</v>
      </c>
      <c r="T12" s="76" t="s">
        <v>326</v>
      </c>
      <c r="U12" s="79">
        <v>11.25</v>
      </c>
      <c r="V12" s="289">
        <v>567</v>
      </c>
      <c r="W12" s="62" t="s">
        <v>44</v>
      </c>
      <c r="X12" s="3">
        <v>5.23</v>
      </c>
      <c r="Y12" s="73">
        <v>550</v>
      </c>
      <c r="Z12" s="74"/>
      <c r="AA12" s="76"/>
      <c r="AB12" s="103"/>
      <c r="AC12" s="25" t="s">
        <v>44</v>
      </c>
      <c r="AD12" s="87">
        <v>5.03</v>
      </c>
      <c r="AE12" s="26">
        <v>508</v>
      </c>
      <c r="AF12" s="25" t="s">
        <v>256</v>
      </c>
      <c r="AG12" s="87">
        <v>10.45</v>
      </c>
      <c r="AH12" s="288">
        <v>680</v>
      </c>
      <c r="AI12" s="25"/>
      <c r="AJ12" s="3"/>
      <c r="AK12" s="26"/>
      <c r="AL12" s="25"/>
      <c r="AM12" s="87"/>
      <c r="AN12" s="26"/>
      <c r="AO12" s="25" t="s">
        <v>44</v>
      </c>
      <c r="AP12" s="87">
        <v>5.39</v>
      </c>
      <c r="AQ12" s="288">
        <v>583</v>
      </c>
      <c r="AR12" s="25"/>
      <c r="AS12" s="87"/>
      <c r="AT12" s="26"/>
      <c r="AU12" s="25"/>
      <c r="AV12" s="3"/>
      <c r="AW12" s="26"/>
      <c r="AX12" s="25"/>
      <c r="AY12" s="87"/>
      <c r="AZ12" s="26"/>
      <c r="BA12" s="25" t="s">
        <v>18</v>
      </c>
      <c r="BB12" s="87">
        <v>4.96</v>
      </c>
      <c r="BC12" s="26">
        <v>494</v>
      </c>
      <c r="BD12" s="25"/>
      <c r="BE12" s="87"/>
      <c r="BF12" s="26"/>
      <c r="BG12" s="25" t="s">
        <v>18</v>
      </c>
      <c r="BH12" s="87">
        <v>5.3</v>
      </c>
      <c r="BI12" s="288">
        <v>564</v>
      </c>
      <c r="BJ12" s="25"/>
      <c r="BK12" s="87"/>
      <c r="BL12" s="26"/>
      <c r="BM12" s="25"/>
      <c r="BN12" s="87"/>
      <c r="BO12" s="26"/>
      <c r="BP12" s="25" t="s">
        <v>326</v>
      </c>
      <c r="BQ12" s="87">
        <v>11.27</v>
      </c>
      <c r="BR12" s="288">
        <v>569</v>
      </c>
      <c r="BS12" s="25"/>
      <c r="BT12" s="87"/>
      <c r="BU12" s="26"/>
      <c r="BV12" s="58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4"/>
      <c r="CP12" s="64"/>
      <c r="CQ12" s="64"/>
      <c r="CR12" s="64"/>
      <c r="CS12" s="64"/>
      <c r="CT12" s="2"/>
      <c r="CU12" s="86"/>
      <c r="CV12" s="57"/>
      <c r="CW12" s="2"/>
      <c r="CX12" s="86"/>
      <c r="CY12" s="57"/>
      <c r="CZ12" s="2"/>
      <c r="DA12" s="86"/>
      <c r="DB12" s="57"/>
      <c r="DC12" s="2"/>
      <c r="DD12" s="120"/>
      <c r="DE12" s="57"/>
      <c r="DF12" s="2"/>
      <c r="DG12" s="120"/>
      <c r="DH12" s="57"/>
    </row>
    <row r="13" spans="1:112" ht="15">
      <c r="A13" s="115" t="s">
        <v>227</v>
      </c>
      <c r="B13" s="115" t="s">
        <v>228</v>
      </c>
      <c r="C13" s="2" t="s">
        <v>35</v>
      </c>
      <c r="D13" s="317"/>
      <c r="E13" s="2" t="s">
        <v>39</v>
      </c>
      <c r="F13" s="180"/>
      <c r="G13" s="59"/>
      <c r="H13" s="62"/>
      <c r="I13" s="87"/>
      <c r="J13" s="98"/>
      <c r="K13" s="25"/>
      <c r="L13" s="3"/>
      <c r="M13" s="75"/>
      <c r="N13" s="78" t="s">
        <v>223</v>
      </c>
      <c r="O13" s="80">
        <v>1.5</v>
      </c>
      <c r="P13" s="75">
        <v>485</v>
      </c>
      <c r="Q13" s="78"/>
      <c r="R13" s="79"/>
      <c r="S13" s="75"/>
      <c r="T13" s="76"/>
      <c r="U13" s="79"/>
      <c r="V13" s="75"/>
      <c r="W13" s="62"/>
      <c r="X13" s="3"/>
      <c r="Y13" s="73"/>
      <c r="Z13" s="74"/>
      <c r="AA13" s="76"/>
      <c r="AB13" s="103"/>
      <c r="AC13" s="25"/>
      <c r="AD13" s="87"/>
      <c r="AE13" s="26"/>
      <c r="AF13" s="25"/>
      <c r="AG13" s="87"/>
      <c r="AH13" s="26"/>
      <c r="AI13" s="25"/>
      <c r="AJ13" s="3"/>
      <c r="AK13" s="26"/>
      <c r="AL13" s="25"/>
      <c r="AM13" s="87"/>
      <c r="AN13" s="26"/>
      <c r="AO13" s="25"/>
      <c r="AP13" s="87"/>
      <c r="AQ13" s="26"/>
      <c r="AR13" s="25"/>
      <c r="AS13" s="87"/>
      <c r="AT13" s="26"/>
      <c r="AU13" s="25"/>
      <c r="AV13" s="3"/>
      <c r="AW13" s="26"/>
      <c r="AX13" s="25"/>
      <c r="AY13" s="87"/>
      <c r="AZ13" s="26"/>
      <c r="BA13" s="25"/>
      <c r="BB13" s="87"/>
      <c r="BC13" s="26"/>
      <c r="BD13" s="25"/>
      <c r="BE13" s="87"/>
      <c r="BF13" s="26"/>
      <c r="BG13" s="25"/>
      <c r="BH13" s="87"/>
      <c r="BI13" s="26"/>
      <c r="BJ13" s="25"/>
      <c r="BK13" s="87"/>
      <c r="BL13" s="26"/>
      <c r="BM13" s="25"/>
      <c r="BN13" s="87"/>
      <c r="BO13" s="26"/>
      <c r="BP13" s="25"/>
      <c r="BQ13" s="87"/>
      <c r="BR13" s="26"/>
      <c r="BS13" s="25"/>
      <c r="BT13" s="87"/>
      <c r="BU13" s="26"/>
      <c r="BV13" s="58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4"/>
      <c r="CP13" s="64"/>
      <c r="CQ13" s="64"/>
      <c r="CR13" s="64"/>
      <c r="CS13" s="64"/>
      <c r="CT13" s="2"/>
      <c r="CU13" s="86"/>
      <c r="CV13" s="57"/>
      <c r="CW13" s="2"/>
      <c r="CX13" s="86"/>
      <c r="CY13" s="57"/>
      <c r="CZ13" s="2"/>
      <c r="DA13" s="86"/>
      <c r="DB13" s="57"/>
      <c r="DC13" s="2"/>
      <c r="DD13" s="120"/>
      <c r="DE13" s="57"/>
      <c r="DF13" s="2"/>
      <c r="DG13" s="120"/>
      <c r="DH13" s="57"/>
    </row>
    <row r="14" spans="1:112" ht="15">
      <c r="A14" s="206" t="s">
        <v>0</v>
      </c>
      <c r="B14" s="206" t="s">
        <v>49</v>
      </c>
      <c r="C14" s="90" t="s">
        <v>47</v>
      </c>
      <c r="D14" s="91"/>
      <c r="E14" s="90" t="s">
        <v>39</v>
      </c>
      <c r="F14" s="90"/>
      <c r="G14" s="91"/>
      <c r="H14" s="52" t="s">
        <v>44</v>
      </c>
      <c r="I14" s="30">
        <v>4.32</v>
      </c>
      <c r="J14" s="99">
        <v>632</v>
      </c>
      <c r="K14" s="35"/>
      <c r="L14" s="30"/>
      <c r="M14" s="55"/>
      <c r="N14" s="49"/>
      <c r="O14" s="80"/>
      <c r="P14" s="55"/>
      <c r="Q14" s="49"/>
      <c r="R14" s="80"/>
      <c r="S14" s="55"/>
      <c r="T14" s="77"/>
      <c r="U14" s="80"/>
      <c r="V14" s="55"/>
      <c r="W14" s="52"/>
      <c r="X14" s="30"/>
      <c r="Y14" s="71"/>
      <c r="Z14" s="102"/>
      <c r="AA14" s="77"/>
      <c r="AB14" s="100"/>
      <c r="AC14" s="35"/>
      <c r="AD14" s="68"/>
      <c r="AE14" s="36"/>
      <c r="AF14" s="35"/>
      <c r="AG14" s="68"/>
      <c r="AH14" s="36"/>
      <c r="AI14" s="35"/>
      <c r="AJ14" s="30"/>
      <c r="AK14" s="38"/>
      <c r="AL14" s="35"/>
      <c r="AM14" s="68"/>
      <c r="AN14" s="38"/>
      <c r="AO14" s="35"/>
      <c r="AP14" s="68"/>
      <c r="AQ14" s="38"/>
      <c r="AR14" s="35"/>
      <c r="AS14" s="68"/>
      <c r="AT14" s="38"/>
      <c r="AU14" s="35"/>
      <c r="AV14" s="30"/>
      <c r="AW14" s="38"/>
      <c r="AX14" s="35"/>
      <c r="AY14" s="68"/>
      <c r="AZ14" s="28"/>
      <c r="BA14" s="35"/>
      <c r="BB14" s="68"/>
      <c r="BC14" s="28"/>
      <c r="BD14" s="35" t="s">
        <v>18</v>
      </c>
      <c r="BE14" s="68">
        <v>4.25</v>
      </c>
      <c r="BF14" s="28">
        <v>617</v>
      </c>
      <c r="BG14" s="35" t="s">
        <v>44</v>
      </c>
      <c r="BH14" s="68">
        <v>4.26</v>
      </c>
      <c r="BI14" s="28">
        <v>619</v>
      </c>
      <c r="BJ14" s="35"/>
      <c r="BK14" s="68"/>
      <c r="BL14" s="28"/>
      <c r="BM14" s="35"/>
      <c r="BN14" s="68"/>
      <c r="BO14" s="28"/>
      <c r="BP14" s="35"/>
      <c r="BQ14" s="68"/>
      <c r="BR14" s="28"/>
      <c r="BS14" s="35" t="s">
        <v>18</v>
      </c>
      <c r="BT14" s="68">
        <v>4.1</v>
      </c>
      <c r="BU14" s="28">
        <v>586</v>
      </c>
      <c r="BV14">
        <f>COUNTA(BL14,BI14,BF14,BC14,AW14,AT14,AQ14,AZ14,AN14,AK14,AH14,AE14,Y14,M14,BO14,BR14,BU14,J14)</f>
        <v>4</v>
      </c>
      <c r="BW14" s="65">
        <f>J14</f>
        <v>632</v>
      </c>
      <c r="BX14" s="65">
        <f>M14</f>
        <v>0</v>
      </c>
      <c r="BY14" s="65">
        <f>Y14</f>
        <v>0</v>
      </c>
      <c r="BZ14" s="65">
        <f>AE14</f>
        <v>0</v>
      </c>
      <c r="CA14" s="65">
        <f>AH14</f>
        <v>0</v>
      </c>
      <c r="CB14" s="65">
        <f>AK14</f>
        <v>0</v>
      </c>
      <c r="CC14" s="65">
        <f>AN14</f>
        <v>0</v>
      </c>
      <c r="CD14" s="65">
        <f>AQ14</f>
        <v>0</v>
      </c>
      <c r="CE14" s="65">
        <f>AT14</f>
        <v>0</v>
      </c>
      <c r="CF14" s="65">
        <f>AW14</f>
        <v>0</v>
      </c>
      <c r="CG14" s="65">
        <f>AZ14</f>
        <v>0</v>
      </c>
      <c r="CH14" s="65">
        <f>BC14</f>
        <v>0</v>
      </c>
      <c r="CI14" s="65">
        <f>BF14</f>
        <v>617</v>
      </c>
      <c r="CJ14" s="65">
        <f>BI14</f>
        <v>619</v>
      </c>
      <c r="CK14" s="65">
        <f>BL14</f>
        <v>0</v>
      </c>
      <c r="CL14" s="65">
        <f>BO14</f>
        <v>0</v>
      </c>
      <c r="CM14" s="65">
        <f>BR14</f>
        <v>0</v>
      </c>
      <c r="CN14" s="65">
        <f>BU14</f>
        <v>586</v>
      </c>
      <c r="CO14" s="63">
        <f>LARGE(BW14:CN14,1)</f>
        <v>632</v>
      </c>
      <c r="CP14" s="63">
        <f>LARGE(BW14:CN14,2)</f>
        <v>619</v>
      </c>
      <c r="CQ14" s="63">
        <f>LARGE(BW14:CN14,3)</f>
        <v>617</v>
      </c>
      <c r="CR14" s="63">
        <f>LARGE(BW14:CN14,4)</f>
        <v>586</v>
      </c>
      <c r="CS14" s="63">
        <f>LARGE(BW14:CN14,5)</f>
        <v>0</v>
      </c>
      <c r="CT14" s="2"/>
      <c r="CU14" s="86"/>
      <c r="CV14" s="57"/>
      <c r="CW14" s="2"/>
      <c r="CX14" s="86"/>
      <c r="CY14" s="57"/>
      <c r="CZ14" s="2"/>
      <c r="DA14" s="86"/>
      <c r="DB14" s="57"/>
      <c r="DC14" s="2"/>
      <c r="DD14" s="120"/>
      <c r="DE14" s="57"/>
      <c r="DF14" s="2"/>
      <c r="DG14" s="120"/>
      <c r="DH14" s="57"/>
    </row>
    <row r="15" spans="1:112" ht="15">
      <c r="A15" s="206" t="s">
        <v>179</v>
      </c>
      <c r="B15" s="206" t="s">
        <v>180</v>
      </c>
      <c r="C15" s="90" t="s">
        <v>42</v>
      </c>
      <c r="D15" s="263"/>
      <c r="E15" s="90" t="s">
        <v>61</v>
      </c>
      <c r="F15" s="90"/>
      <c r="G15" s="91"/>
      <c r="H15" s="52"/>
      <c r="I15" s="30"/>
      <c r="J15" s="99"/>
      <c r="K15" s="35"/>
      <c r="L15" s="30"/>
      <c r="M15" s="55"/>
      <c r="N15" s="49"/>
      <c r="O15" s="80"/>
      <c r="P15" s="55"/>
      <c r="Q15" s="49"/>
      <c r="R15" s="80"/>
      <c r="S15" s="55"/>
      <c r="T15" s="77"/>
      <c r="U15" s="80"/>
      <c r="V15" s="55"/>
      <c r="W15" s="52" t="s">
        <v>44</v>
      </c>
      <c r="X15" s="30">
        <v>4.96</v>
      </c>
      <c r="Y15" s="71">
        <v>494</v>
      </c>
      <c r="Z15" s="102"/>
      <c r="AA15" s="77"/>
      <c r="AB15" s="100"/>
      <c r="AC15" s="35"/>
      <c r="AD15" s="68"/>
      <c r="AE15" s="36"/>
      <c r="AF15" s="35"/>
      <c r="AG15" s="68"/>
      <c r="AH15" s="36"/>
      <c r="AI15" s="35"/>
      <c r="AJ15" s="30"/>
      <c r="AK15" s="38"/>
      <c r="AL15" s="35"/>
      <c r="AM15" s="68"/>
      <c r="AN15" s="38"/>
      <c r="AO15" s="35" t="s">
        <v>44</v>
      </c>
      <c r="AP15" s="68">
        <v>4.79</v>
      </c>
      <c r="AQ15" s="38">
        <v>459</v>
      </c>
      <c r="AR15" s="35"/>
      <c r="AS15" s="68"/>
      <c r="AT15" s="38"/>
      <c r="AU15" s="35"/>
      <c r="AV15" s="30"/>
      <c r="AW15" s="38"/>
      <c r="AX15" s="35"/>
      <c r="AY15" s="68"/>
      <c r="AZ15" s="28"/>
      <c r="BA15" s="35" t="s">
        <v>18</v>
      </c>
      <c r="BB15" s="68">
        <v>4.2</v>
      </c>
      <c r="BC15" s="28">
        <v>339</v>
      </c>
      <c r="BD15" s="35"/>
      <c r="BE15" s="68"/>
      <c r="BF15" s="28"/>
      <c r="BG15" s="35" t="s">
        <v>18</v>
      </c>
      <c r="BH15" s="68">
        <v>4.57</v>
      </c>
      <c r="BI15" s="28">
        <v>414</v>
      </c>
      <c r="BJ15" s="35"/>
      <c r="BK15" s="68"/>
      <c r="BL15" s="28"/>
      <c r="BM15" s="35"/>
      <c r="BN15" s="68"/>
      <c r="BO15" s="28"/>
      <c r="BP15" s="35"/>
      <c r="BQ15" s="68"/>
      <c r="BR15" s="28"/>
      <c r="BS15" s="35"/>
      <c r="BT15" s="68"/>
      <c r="BU15" s="28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3"/>
      <c r="CP15" s="63"/>
      <c r="CQ15" s="63"/>
      <c r="CR15" s="63"/>
      <c r="CS15" s="63"/>
      <c r="CT15" s="2"/>
      <c r="CU15" s="86"/>
      <c r="CV15" s="57"/>
      <c r="CW15" s="2"/>
      <c r="CX15" s="86"/>
      <c r="CY15" s="57"/>
      <c r="CZ15" s="2"/>
      <c r="DA15" s="86"/>
      <c r="DB15" s="57"/>
      <c r="DC15" s="2"/>
      <c r="DD15" s="120"/>
      <c r="DE15" s="57"/>
      <c r="DF15" s="2"/>
      <c r="DG15" s="120"/>
      <c r="DH15" s="57"/>
    </row>
    <row r="16" spans="1:112" ht="15">
      <c r="A16" s="206" t="s">
        <v>220</v>
      </c>
      <c r="B16" s="206" t="s">
        <v>221</v>
      </c>
      <c r="C16" s="90" t="s">
        <v>47</v>
      </c>
      <c r="D16" s="207"/>
      <c r="E16" s="90" t="s">
        <v>53</v>
      </c>
      <c r="F16" s="90"/>
      <c r="G16" s="90"/>
      <c r="H16" s="52"/>
      <c r="I16" s="30"/>
      <c r="J16" s="99"/>
      <c r="K16" s="35"/>
      <c r="L16" s="30"/>
      <c r="M16" s="55"/>
      <c r="N16" s="49"/>
      <c r="O16" s="80"/>
      <c r="P16" s="55"/>
      <c r="Q16" s="49"/>
      <c r="R16" s="80"/>
      <c r="S16" s="55"/>
      <c r="T16" s="77"/>
      <c r="U16" s="80"/>
      <c r="V16" s="55"/>
      <c r="W16" s="52" t="s">
        <v>223</v>
      </c>
      <c r="X16" s="30">
        <v>1.35</v>
      </c>
      <c r="Y16" s="71">
        <v>584</v>
      </c>
      <c r="Z16" s="102"/>
      <c r="AA16" s="77"/>
      <c r="AB16" s="100"/>
      <c r="AC16" s="35"/>
      <c r="AD16" s="68"/>
      <c r="AE16" s="36"/>
      <c r="AF16" s="35"/>
      <c r="AG16" s="68"/>
      <c r="AH16" s="36"/>
      <c r="AI16" s="35"/>
      <c r="AJ16" s="30"/>
      <c r="AK16" s="38"/>
      <c r="AL16" s="35"/>
      <c r="AM16" s="68"/>
      <c r="AN16" s="38"/>
      <c r="AO16" s="35"/>
      <c r="AP16" s="68"/>
      <c r="AQ16" s="38"/>
      <c r="AR16" s="35"/>
      <c r="AS16" s="68"/>
      <c r="AT16" s="38"/>
      <c r="AU16" s="35"/>
      <c r="AV16" s="30"/>
      <c r="AW16" s="38"/>
      <c r="AX16" s="35"/>
      <c r="AY16" s="68"/>
      <c r="AZ16" s="28"/>
      <c r="BA16" s="35"/>
      <c r="BB16" s="68"/>
      <c r="BC16" s="28"/>
      <c r="BD16" s="35"/>
      <c r="BE16" s="68"/>
      <c r="BF16" s="28"/>
      <c r="BG16" s="35"/>
      <c r="BH16" s="68"/>
      <c r="BI16" s="28"/>
      <c r="BJ16" s="35"/>
      <c r="BK16" s="68"/>
      <c r="BL16" s="28"/>
      <c r="BM16" s="35"/>
      <c r="BN16" s="68"/>
      <c r="BO16" s="28"/>
      <c r="BP16" s="35"/>
      <c r="BQ16" s="68"/>
      <c r="BR16" s="28"/>
      <c r="BS16" s="35"/>
      <c r="BT16" s="68"/>
      <c r="BU16" s="28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3"/>
      <c r="CP16" s="63"/>
      <c r="CQ16" s="63"/>
      <c r="CR16" s="63"/>
      <c r="CS16" s="63"/>
      <c r="CT16" s="2"/>
      <c r="CU16" s="86"/>
      <c r="CV16" s="57"/>
      <c r="CW16" s="2"/>
      <c r="CX16" s="86"/>
      <c r="CY16" s="57"/>
      <c r="CZ16" s="2"/>
      <c r="DA16" s="86"/>
      <c r="DB16" s="57"/>
      <c r="DC16" s="2"/>
      <c r="DD16" s="120"/>
      <c r="DE16" s="57"/>
      <c r="DF16" s="2"/>
      <c r="DG16" s="120"/>
      <c r="DH16" s="57"/>
    </row>
    <row r="17" spans="1:112" ht="15">
      <c r="A17" s="217" t="s">
        <v>224</v>
      </c>
      <c r="B17" s="217" t="s">
        <v>214</v>
      </c>
      <c r="C17" s="334" t="s">
        <v>42</v>
      </c>
      <c r="D17" s="319"/>
      <c r="E17" s="92" t="s">
        <v>11</v>
      </c>
      <c r="F17" s="90"/>
      <c r="G17" s="92"/>
      <c r="H17" s="52"/>
      <c r="I17" s="30"/>
      <c r="J17" s="99"/>
      <c r="K17" s="35"/>
      <c r="L17" s="30"/>
      <c r="M17" s="55"/>
      <c r="N17" s="49"/>
      <c r="O17" s="80"/>
      <c r="P17" s="55"/>
      <c r="Q17" s="49"/>
      <c r="R17" s="80"/>
      <c r="S17" s="55"/>
      <c r="T17" s="77"/>
      <c r="U17" s="80"/>
      <c r="V17" s="55"/>
      <c r="W17" s="52" t="s">
        <v>18</v>
      </c>
      <c r="X17" s="30">
        <v>5.26</v>
      </c>
      <c r="Y17" s="71">
        <v>556</v>
      </c>
      <c r="Z17" s="102"/>
      <c r="AA17" s="77"/>
      <c r="AB17" s="100"/>
      <c r="AC17" s="35"/>
      <c r="AD17" s="68"/>
      <c r="AE17" s="36"/>
      <c r="AF17" s="35"/>
      <c r="AG17" s="68"/>
      <c r="AH17" s="36"/>
      <c r="AI17" s="35"/>
      <c r="AJ17" s="30"/>
      <c r="AK17" s="38"/>
      <c r="AL17" s="35"/>
      <c r="AM17" s="68"/>
      <c r="AN17" s="38"/>
      <c r="AO17" s="35"/>
      <c r="AP17" s="68"/>
      <c r="AQ17" s="38"/>
      <c r="AR17" s="35"/>
      <c r="AS17" s="68"/>
      <c r="AT17" s="38"/>
      <c r="AU17" s="35"/>
      <c r="AV17" s="30"/>
      <c r="AW17" s="38"/>
      <c r="AX17" s="35"/>
      <c r="AY17" s="68"/>
      <c r="AZ17" s="28"/>
      <c r="BA17" s="35"/>
      <c r="BB17" s="68"/>
      <c r="BC17" s="28"/>
      <c r="BD17" s="35"/>
      <c r="BE17" s="68"/>
      <c r="BF17" s="28"/>
      <c r="BG17" s="35"/>
      <c r="BH17" s="68"/>
      <c r="BI17" s="28"/>
      <c r="BJ17" s="35"/>
      <c r="BK17" s="68"/>
      <c r="BL17" s="28"/>
      <c r="BM17" s="35"/>
      <c r="BN17" s="68"/>
      <c r="BO17" s="28"/>
      <c r="BP17" s="35"/>
      <c r="BQ17" s="68"/>
      <c r="BR17" s="28"/>
      <c r="BS17" s="35"/>
      <c r="BT17" s="68"/>
      <c r="BU17" s="28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3"/>
      <c r="CP17" s="63"/>
      <c r="CQ17" s="63"/>
      <c r="CR17" s="63"/>
      <c r="CS17" s="63"/>
      <c r="CT17" s="2"/>
      <c r="CU17" s="86"/>
      <c r="CV17" s="57"/>
      <c r="CW17" s="2"/>
      <c r="CX17" s="86"/>
      <c r="CY17" s="57"/>
      <c r="CZ17" s="2"/>
      <c r="DA17" s="86"/>
      <c r="DB17" s="57"/>
      <c r="DC17" s="2"/>
      <c r="DD17" s="120"/>
      <c r="DE17" s="57"/>
      <c r="DF17" s="2"/>
      <c r="DG17" s="120"/>
      <c r="DH17" s="57"/>
    </row>
    <row r="18" spans="1:112" ht="15">
      <c r="A18" s="192" t="s">
        <v>50</v>
      </c>
      <c r="B18" s="192" t="s">
        <v>51</v>
      </c>
      <c r="C18" s="92" t="s">
        <v>52</v>
      </c>
      <c r="D18" s="193"/>
      <c r="E18" s="92" t="s">
        <v>53</v>
      </c>
      <c r="F18" s="90"/>
      <c r="G18" s="92"/>
      <c r="H18" s="52" t="s">
        <v>44</v>
      </c>
      <c r="I18" s="68">
        <v>3.2</v>
      </c>
      <c r="J18" s="99">
        <v>401</v>
      </c>
      <c r="K18" s="35"/>
      <c r="L18" s="30"/>
      <c r="M18" s="55"/>
      <c r="N18" s="49"/>
      <c r="O18" s="80"/>
      <c r="P18" s="55"/>
      <c r="Q18" s="49"/>
      <c r="R18" s="80"/>
      <c r="S18" s="55"/>
      <c r="T18" s="77"/>
      <c r="U18" s="80"/>
      <c r="V18" s="55"/>
      <c r="W18" s="52" t="s">
        <v>44</v>
      </c>
      <c r="X18" s="30">
        <v>3.23</v>
      </c>
      <c r="Y18" s="71">
        <v>407</v>
      </c>
      <c r="Z18" s="102"/>
      <c r="AA18" s="77"/>
      <c r="AB18" s="100"/>
      <c r="AC18" s="35" t="s">
        <v>44</v>
      </c>
      <c r="AD18" s="68">
        <v>2.97</v>
      </c>
      <c r="AE18" s="36">
        <v>354</v>
      </c>
      <c r="AF18" s="35"/>
      <c r="AG18" s="68"/>
      <c r="AH18" s="36"/>
      <c r="AI18" s="35"/>
      <c r="AJ18" s="30"/>
      <c r="AK18" s="38"/>
      <c r="AL18" s="35"/>
      <c r="AM18" s="68"/>
      <c r="AN18" s="38"/>
      <c r="AO18" s="35"/>
      <c r="AP18" s="68"/>
      <c r="AQ18" s="38"/>
      <c r="AR18" s="35"/>
      <c r="AS18" s="68"/>
      <c r="AT18" s="38"/>
      <c r="AU18" s="35"/>
      <c r="AV18" s="30"/>
      <c r="AW18" s="38"/>
      <c r="AX18" s="35"/>
      <c r="AY18" s="68"/>
      <c r="AZ18" s="28"/>
      <c r="BA18" s="35" t="s">
        <v>18</v>
      </c>
      <c r="BB18" s="68">
        <v>2.66</v>
      </c>
      <c r="BC18" s="28">
        <v>291</v>
      </c>
      <c r="BD18" s="35"/>
      <c r="BE18" s="68"/>
      <c r="BF18" s="28"/>
      <c r="BG18" s="35" t="s">
        <v>44</v>
      </c>
      <c r="BH18" s="68">
        <v>3.37</v>
      </c>
      <c r="BI18" s="28">
        <v>436</v>
      </c>
      <c r="BJ18" s="35"/>
      <c r="BK18" s="68"/>
      <c r="BL18" s="28"/>
      <c r="BM18" s="35"/>
      <c r="BN18" s="68"/>
      <c r="BO18" s="28"/>
      <c r="BP18" s="35"/>
      <c r="BQ18" s="68"/>
      <c r="BR18" s="28"/>
      <c r="BS18" s="35"/>
      <c r="BT18" s="68"/>
      <c r="BU18" s="28"/>
      <c r="BV18">
        <f>COUNTA(BL18,BI18,BF18,BC18,AW18,AT18,AQ18,AZ18,AN18,AK18,AH18,AE18,Y18,M18,BO18,BR18,BU18,J18)</f>
        <v>5</v>
      </c>
      <c r="BW18" s="65">
        <f>J18</f>
        <v>401</v>
      </c>
      <c r="BX18" s="65">
        <f>M18</f>
        <v>0</v>
      </c>
      <c r="BY18" s="65">
        <f>Y18</f>
        <v>407</v>
      </c>
      <c r="BZ18" s="65">
        <f>AE18</f>
        <v>354</v>
      </c>
      <c r="CA18" s="65">
        <f>AH18</f>
        <v>0</v>
      </c>
      <c r="CB18" s="65">
        <f>AK18</f>
        <v>0</v>
      </c>
      <c r="CC18" s="65">
        <f>AN18</f>
        <v>0</v>
      </c>
      <c r="CD18" s="65">
        <f>AQ18</f>
        <v>0</v>
      </c>
      <c r="CE18" s="65">
        <f>AT18</f>
        <v>0</v>
      </c>
      <c r="CF18" s="65">
        <f>AW18</f>
        <v>0</v>
      </c>
      <c r="CG18" s="65">
        <f>AZ18</f>
        <v>0</v>
      </c>
      <c r="CH18" s="65">
        <f>BC18</f>
        <v>291</v>
      </c>
      <c r="CI18" s="65">
        <f>BF18</f>
        <v>0</v>
      </c>
      <c r="CJ18" s="65">
        <f>BI18</f>
        <v>436</v>
      </c>
      <c r="CK18" s="65">
        <f>BL18</f>
        <v>0</v>
      </c>
      <c r="CL18" s="65">
        <f>BO18</f>
        <v>0</v>
      </c>
      <c r="CM18" s="65">
        <f>BR18</f>
        <v>0</v>
      </c>
      <c r="CN18" s="65">
        <f>BU18</f>
        <v>0</v>
      </c>
      <c r="CO18" s="63">
        <f>LARGE(BW18:CN18,1)</f>
        <v>436</v>
      </c>
      <c r="CP18" s="63">
        <f>LARGE(BW18:CN18,2)</f>
        <v>407</v>
      </c>
      <c r="CQ18" s="63">
        <f>LARGE(BW18:CN18,3)</f>
        <v>401</v>
      </c>
      <c r="CR18" s="63">
        <f>LARGE(BW18:CN18,4)</f>
        <v>354</v>
      </c>
      <c r="CS18" s="63">
        <f>LARGE(BW18:CN18,5)</f>
        <v>291</v>
      </c>
      <c r="CT18" s="2"/>
      <c r="CU18" s="86"/>
      <c r="CV18" s="57"/>
      <c r="CW18" s="2"/>
      <c r="CX18" s="86"/>
      <c r="CY18" s="57"/>
      <c r="CZ18" s="2"/>
      <c r="DA18" s="86"/>
      <c r="DB18" s="57"/>
      <c r="DC18" s="2"/>
      <c r="DD18" s="120"/>
      <c r="DE18" s="57"/>
      <c r="DF18" s="2"/>
      <c r="DG18" s="120"/>
      <c r="DH18" s="57"/>
    </row>
    <row r="19" spans="1:112" ht="15">
      <c r="A19" s="206" t="s">
        <v>218</v>
      </c>
      <c r="B19" s="206" t="s">
        <v>219</v>
      </c>
      <c r="C19" s="91" t="s">
        <v>42</v>
      </c>
      <c r="D19" s="207">
        <v>25</v>
      </c>
      <c r="E19" s="90" t="s">
        <v>39</v>
      </c>
      <c r="F19" s="90"/>
      <c r="G19" s="90"/>
      <c r="H19" s="52"/>
      <c r="I19" s="68"/>
      <c r="J19" s="99"/>
      <c r="K19" s="35"/>
      <c r="L19" s="30"/>
      <c r="M19" s="55"/>
      <c r="N19" s="49"/>
      <c r="O19" s="80"/>
      <c r="P19" s="55"/>
      <c r="Q19" s="49"/>
      <c r="R19" s="80"/>
      <c r="S19" s="55"/>
      <c r="T19" s="77"/>
      <c r="U19" s="80"/>
      <c r="V19" s="55"/>
      <c r="W19" s="52" t="s">
        <v>217</v>
      </c>
      <c r="X19" s="68">
        <v>3</v>
      </c>
      <c r="Y19" s="71">
        <v>466</v>
      </c>
      <c r="Z19" s="102"/>
      <c r="AA19" s="77"/>
      <c r="AB19" s="100"/>
      <c r="AC19" s="35"/>
      <c r="AD19" s="68"/>
      <c r="AE19" s="36"/>
      <c r="AF19" s="35"/>
      <c r="AG19" s="68"/>
      <c r="AH19" s="36"/>
      <c r="AI19" s="35"/>
      <c r="AJ19" s="30"/>
      <c r="AK19" s="38"/>
      <c r="AL19" s="35"/>
      <c r="AM19" s="68"/>
      <c r="AN19" s="38"/>
      <c r="AO19" s="35"/>
      <c r="AP19" s="68"/>
      <c r="AQ19" s="38"/>
      <c r="AR19" s="35"/>
      <c r="AS19" s="68"/>
      <c r="AT19" s="38"/>
      <c r="AU19" s="35"/>
      <c r="AV19" s="30"/>
      <c r="AW19" s="38"/>
      <c r="AX19" s="35"/>
      <c r="AY19" s="68"/>
      <c r="AZ19" s="28"/>
      <c r="BA19" s="35"/>
      <c r="BB19" s="68"/>
      <c r="BC19" s="28"/>
      <c r="BD19" s="41"/>
      <c r="BE19" s="68"/>
      <c r="BF19" s="88"/>
      <c r="BG19" s="35"/>
      <c r="BH19" s="68"/>
      <c r="BI19" s="28"/>
      <c r="BJ19" s="35"/>
      <c r="BK19" s="68"/>
      <c r="BL19" s="28"/>
      <c r="BM19" s="35"/>
      <c r="BN19" s="68"/>
      <c r="BO19" s="28"/>
      <c r="BP19" s="35"/>
      <c r="BQ19" s="68"/>
      <c r="BR19" s="28"/>
      <c r="BS19" s="35"/>
      <c r="BT19" s="68"/>
      <c r="BU19" s="28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3"/>
      <c r="CP19" s="63"/>
      <c r="CQ19" s="63"/>
      <c r="CR19" s="63"/>
      <c r="CS19" s="63"/>
      <c r="CT19" s="2"/>
      <c r="CU19" s="86"/>
      <c r="CV19" s="57"/>
      <c r="CW19" s="2"/>
      <c r="CX19" s="86"/>
      <c r="CY19" s="57"/>
      <c r="CZ19" s="2"/>
      <c r="DA19" s="86"/>
      <c r="DB19" s="57"/>
      <c r="DC19" s="2"/>
      <c r="DD19" s="120"/>
      <c r="DE19" s="57"/>
      <c r="DF19" s="2"/>
      <c r="DG19" s="120"/>
      <c r="DH19" s="57"/>
    </row>
    <row r="20" spans="1:112" ht="15">
      <c r="A20" s="206" t="s">
        <v>175</v>
      </c>
      <c r="B20" s="206" t="s">
        <v>176</v>
      </c>
      <c r="C20" s="91" t="s">
        <v>47</v>
      </c>
      <c r="D20" s="207"/>
      <c r="E20" s="90" t="s">
        <v>11</v>
      </c>
      <c r="F20" s="90"/>
      <c r="G20" s="90"/>
      <c r="H20" s="52"/>
      <c r="I20" s="68"/>
      <c r="J20" s="99"/>
      <c r="K20" s="35"/>
      <c r="L20" s="30"/>
      <c r="M20" s="55"/>
      <c r="N20" s="49" t="s">
        <v>18</v>
      </c>
      <c r="O20" s="80">
        <v>4.74</v>
      </c>
      <c r="P20" s="55">
        <v>720</v>
      </c>
      <c r="Q20" s="49"/>
      <c r="R20" s="80"/>
      <c r="S20" s="55"/>
      <c r="T20" s="77"/>
      <c r="U20" s="80"/>
      <c r="V20" s="55"/>
      <c r="W20" s="52" t="s">
        <v>18</v>
      </c>
      <c r="X20" s="30">
        <v>4.67</v>
      </c>
      <c r="Y20" s="71">
        <v>705</v>
      </c>
      <c r="Z20" s="102"/>
      <c r="AA20" s="77"/>
      <c r="AB20" s="100"/>
      <c r="AC20" s="35"/>
      <c r="AD20" s="68"/>
      <c r="AE20" s="36"/>
      <c r="AF20" s="35"/>
      <c r="AG20" s="68"/>
      <c r="AH20" s="36"/>
      <c r="AI20" s="35"/>
      <c r="AJ20" s="30"/>
      <c r="AK20" s="38"/>
      <c r="AL20" s="35"/>
      <c r="AM20" s="68"/>
      <c r="AN20" s="38"/>
      <c r="AO20" s="35" t="s">
        <v>44</v>
      </c>
      <c r="AP20" s="68">
        <v>4.58</v>
      </c>
      <c r="AQ20" s="38">
        <v>416</v>
      </c>
      <c r="AR20" s="35"/>
      <c r="AS20" s="68"/>
      <c r="AT20" s="38"/>
      <c r="AU20" s="35"/>
      <c r="AV20" s="30"/>
      <c r="AW20" s="38"/>
      <c r="AX20" s="35"/>
      <c r="AY20" s="68"/>
      <c r="AZ20" s="28"/>
      <c r="BA20" s="35"/>
      <c r="BB20" s="68"/>
      <c r="BC20" s="28"/>
      <c r="BD20" s="41"/>
      <c r="BE20" s="68"/>
      <c r="BF20" s="32"/>
      <c r="BG20" s="35" t="s">
        <v>44</v>
      </c>
      <c r="BH20" s="68">
        <v>4.62</v>
      </c>
      <c r="BI20" s="28">
        <v>694</v>
      </c>
      <c r="BJ20" s="35"/>
      <c r="BK20" s="68"/>
      <c r="BL20" s="28"/>
      <c r="BM20" s="35"/>
      <c r="BN20" s="68"/>
      <c r="BO20" s="28"/>
      <c r="BP20" s="35"/>
      <c r="BQ20" s="68"/>
      <c r="BR20" s="28"/>
      <c r="BS20" s="35"/>
      <c r="BT20" s="68"/>
      <c r="BU20" s="28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3"/>
      <c r="CP20" s="63"/>
      <c r="CQ20" s="63"/>
      <c r="CR20" s="63"/>
      <c r="CS20" s="63"/>
      <c r="CT20" s="2"/>
      <c r="CU20" s="86"/>
      <c r="CV20" s="57"/>
      <c r="CW20" s="2"/>
      <c r="CX20" s="86"/>
      <c r="CY20" s="57"/>
      <c r="CZ20" s="2"/>
      <c r="DA20" s="86"/>
      <c r="DB20" s="57"/>
      <c r="DC20" s="2"/>
      <c r="DD20" s="120"/>
      <c r="DE20" s="57"/>
      <c r="DF20" s="2"/>
      <c r="DG20" s="120"/>
      <c r="DH20" s="57"/>
    </row>
    <row r="21" spans="1:112" ht="15">
      <c r="A21" s="206" t="s">
        <v>13</v>
      </c>
      <c r="B21" s="206" t="s">
        <v>48</v>
      </c>
      <c r="C21" s="91" t="s">
        <v>47</v>
      </c>
      <c r="D21" s="207"/>
      <c r="E21" s="90" t="s">
        <v>11</v>
      </c>
      <c r="F21" s="90"/>
      <c r="G21" s="90"/>
      <c r="H21" s="52" t="s">
        <v>44</v>
      </c>
      <c r="I21" s="30">
        <v>4.45</v>
      </c>
      <c r="J21" s="99">
        <v>659</v>
      </c>
      <c r="K21" s="35" t="s">
        <v>62</v>
      </c>
      <c r="L21" s="30">
        <v>9.87</v>
      </c>
      <c r="M21" s="55">
        <v>693</v>
      </c>
      <c r="N21" s="49" t="s">
        <v>18</v>
      </c>
      <c r="O21" s="80">
        <v>4.25</v>
      </c>
      <c r="P21" s="55">
        <v>617</v>
      </c>
      <c r="Q21" s="49"/>
      <c r="R21" s="80"/>
      <c r="S21" s="55"/>
      <c r="T21" s="77" t="s">
        <v>256</v>
      </c>
      <c r="U21" s="80">
        <v>9.7</v>
      </c>
      <c r="V21" s="55">
        <v>676</v>
      </c>
      <c r="W21" s="52" t="s">
        <v>18</v>
      </c>
      <c r="X21" s="30">
        <v>4.32</v>
      </c>
      <c r="Y21" s="71">
        <v>632</v>
      </c>
      <c r="Z21" s="102"/>
      <c r="AA21" s="77"/>
      <c r="AB21" s="100"/>
      <c r="AC21" s="35"/>
      <c r="AD21" s="68"/>
      <c r="AE21" s="36"/>
      <c r="AF21" s="35"/>
      <c r="AG21" s="68"/>
      <c r="AH21" s="36"/>
      <c r="AI21" s="35"/>
      <c r="AJ21" s="30"/>
      <c r="AK21" s="38"/>
      <c r="AL21" s="35"/>
      <c r="AM21" s="68"/>
      <c r="AN21" s="38"/>
      <c r="AO21" s="35"/>
      <c r="AP21" s="68"/>
      <c r="AQ21" s="38"/>
      <c r="AR21" s="35"/>
      <c r="AS21" s="68"/>
      <c r="AT21" s="38"/>
      <c r="AU21" s="35"/>
      <c r="AV21" s="30"/>
      <c r="AW21" s="38"/>
      <c r="AX21" s="35"/>
      <c r="AY21" s="68"/>
      <c r="AZ21" s="28"/>
      <c r="BA21" s="35"/>
      <c r="BB21" s="68"/>
      <c r="BC21" s="28"/>
      <c r="BD21" s="35"/>
      <c r="BE21" s="68"/>
      <c r="BF21" s="28"/>
      <c r="BG21" s="35"/>
      <c r="BH21" s="68"/>
      <c r="BI21" s="28"/>
      <c r="BJ21" s="35"/>
      <c r="BK21" s="68"/>
      <c r="BL21" s="28"/>
      <c r="BM21" s="35"/>
      <c r="BN21" s="68"/>
      <c r="BO21" s="28"/>
      <c r="BP21" s="35"/>
      <c r="BQ21" s="68"/>
      <c r="BR21" s="28"/>
      <c r="BS21" s="35"/>
      <c r="BT21" s="68"/>
      <c r="BU21" s="28"/>
      <c r="BV21">
        <f>COUNTA(BL21,BI21,BF21,BC21,AW21,AT21,AQ21,AZ21,AN21,AK21,AH21,AE21,Y21,M21,BO21,BR21,BU21,J21)</f>
        <v>3</v>
      </c>
      <c r="BW21" s="65">
        <f>J21</f>
        <v>659</v>
      </c>
      <c r="BX21" s="65">
        <f>M21</f>
        <v>693</v>
      </c>
      <c r="BY21" s="65">
        <f>Y21</f>
        <v>632</v>
      </c>
      <c r="BZ21" s="65">
        <f>AE21</f>
        <v>0</v>
      </c>
      <c r="CA21" s="65">
        <f>AH21</f>
        <v>0</v>
      </c>
      <c r="CB21" s="65">
        <f>AK21</f>
        <v>0</v>
      </c>
      <c r="CC21" s="65">
        <f>AN21</f>
        <v>0</v>
      </c>
      <c r="CD21" s="65">
        <f>AQ21</f>
        <v>0</v>
      </c>
      <c r="CE21" s="65">
        <f>AT21</f>
        <v>0</v>
      </c>
      <c r="CF21" s="65">
        <f>AW21</f>
        <v>0</v>
      </c>
      <c r="CG21" s="65">
        <f>AZ21</f>
        <v>0</v>
      </c>
      <c r="CH21" s="65">
        <f>BC21</f>
        <v>0</v>
      </c>
      <c r="CI21" s="65">
        <f>BF21</f>
        <v>0</v>
      </c>
      <c r="CJ21" s="65">
        <f>BI21</f>
        <v>0</v>
      </c>
      <c r="CK21" s="65">
        <f>BL21</f>
        <v>0</v>
      </c>
      <c r="CL21" s="65">
        <f>BO21</f>
        <v>0</v>
      </c>
      <c r="CM21" s="65">
        <f>BR21</f>
        <v>0</v>
      </c>
      <c r="CN21" s="65">
        <f>BU21</f>
        <v>0</v>
      </c>
      <c r="CO21" s="63">
        <f>LARGE(BW21:CN21,1)</f>
        <v>693</v>
      </c>
      <c r="CP21" s="63">
        <f>LARGE(BW21:CN21,2)</f>
        <v>659</v>
      </c>
      <c r="CQ21" s="63">
        <f>LARGE(BW21:CN21,3)</f>
        <v>632</v>
      </c>
      <c r="CR21" s="63">
        <f>LARGE(BW21:CN21,4)</f>
        <v>0</v>
      </c>
      <c r="CS21" s="63">
        <f>LARGE(BW21:CN21,5)</f>
        <v>0</v>
      </c>
      <c r="CT21" s="2"/>
      <c r="CU21" s="86"/>
      <c r="CV21" s="57"/>
      <c r="CW21" s="2"/>
      <c r="CX21" s="86"/>
      <c r="CY21" s="57"/>
      <c r="CZ21" s="2"/>
      <c r="DA21" s="86"/>
      <c r="DB21" s="57"/>
      <c r="DC21" s="2"/>
      <c r="DD21" s="120"/>
      <c r="DE21" s="57"/>
      <c r="DF21" s="2"/>
      <c r="DG21" s="120"/>
      <c r="DH21" s="57"/>
    </row>
    <row r="22" spans="1:112" ht="15">
      <c r="A22" s="199" t="s">
        <v>4</v>
      </c>
      <c r="B22" s="199" t="s">
        <v>60</v>
      </c>
      <c r="C22" s="335" t="s">
        <v>35</v>
      </c>
      <c r="D22" s="201"/>
      <c r="E22" s="92" t="s">
        <v>61</v>
      </c>
      <c r="F22" s="90"/>
      <c r="G22" s="92"/>
      <c r="H22" s="52" t="s">
        <v>44</v>
      </c>
      <c r="I22" s="30">
        <v>3.69</v>
      </c>
      <c r="J22" s="99">
        <v>236</v>
      </c>
      <c r="K22" s="35"/>
      <c r="L22" s="30"/>
      <c r="M22" s="55"/>
      <c r="N22" s="49" t="s">
        <v>44</v>
      </c>
      <c r="O22" s="80">
        <v>3.42</v>
      </c>
      <c r="P22" s="55">
        <v>181</v>
      </c>
      <c r="Q22" s="49"/>
      <c r="R22" s="80"/>
      <c r="S22" s="55"/>
      <c r="T22" s="77"/>
      <c r="U22" s="80"/>
      <c r="V22" s="55"/>
      <c r="W22" s="52"/>
      <c r="X22" s="30"/>
      <c r="Y22" s="71"/>
      <c r="Z22" s="102"/>
      <c r="AA22" s="77"/>
      <c r="AB22" s="100"/>
      <c r="AC22" s="35" t="s">
        <v>44</v>
      </c>
      <c r="AD22" s="68">
        <v>5.65</v>
      </c>
      <c r="AE22" s="36">
        <v>637</v>
      </c>
      <c r="AF22" s="35"/>
      <c r="AG22" s="68"/>
      <c r="AH22" s="36"/>
      <c r="AI22" s="35"/>
      <c r="AJ22" s="30"/>
      <c r="AK22" s="38"/>
      <c r="AL22" s="35" t="s">
        <v>44</v>
      </c>
      <c r="AM22" s="68">
        <v>6.13</v>
      </c>
      <c r="AN22" s="38">
        <v>738</v>
      </c>
      <c r="AO22" s="35"/>
      <c r="AP22" s="68"/>
      <c r="AQ22" s="38"/>
      <c r="AR22" s="35"/>
      <c r="AS22" s="68"/>
      <c r="AT22" s="38"/>
      <c r="AU22" s="35"/>
      <c r="AV22" s="30"/>
      <c r="AW22" s="38"/>
      <c r="AX22" s="35"/>
      <c r="AY22" s="68"/>
      <c r="AZ22" s="28"/>
      <c r="BA22" s="35"/>
      <c r="BB22" s="68"/>
      <c r="BC22" s="28"/>
      <c r="BD22" s="35"/>
      <c r="BE22" s="68"/>
      <c r="BF22" s="28"/>
      <c r="BG22" s="35"/>
      <c r="BH22" s="68"/>
      <c r="BI22" s="28"/>
      <c r="BJ22" s="35"/>
      <c r="BK22" s="68"/>
      <c r="BL22" s="28"/>
      <c r="BM22" s="35"/>
      <c r="BN22" s="68"/>
      <c r="BO22" s="28"/>
      <c r="BP22" s="35"/>
      <c r="BQ22" s="68"/>
      <c r="BR22" s="28"/>
      <c r="BS22" s="35" t="s">
        <v>18</v>
      </c>
      <c r="BT22" s="68">
        <v>5.59</v>
      </c>
      <c r="BU22" s="28">
        <v>624</v>
      </c>
      <c r="BV22">
        <f>COUNTA(BL22,BI22,BF22,BC22,AW22,AT22,AQ22,AZ22,AN22,AK22,AH22,AE22,Y22,M22,BO22,BR22,BU22,J22)</f>
        <v>4</v>
      </c>
      <c r="BW22" s="65">
        <f>J22</f>
        <v>236</v>
      </c>
      <c r="BX22" s="65">
        <f>M22</f>
        <v>0</v>
      </c>
      <c r="BY22" s="65">
        <f>Y22</f>
        <v>0</v>
      </c>
      <c r="BZ22" s="65">
        <f>AE22</f>
        <v>637</v>
      </c>
      <c r="CA22" s="65">
        <f>AH22</f>
        <v>0</v>
      </c>
      <c r="CB22" s="65">
        <f>AK22</f>
        <v>0</v>
      </c>
      <c r="CC22" s="65">
        <f>AN22</f>
        <v>738</v>
      </c>
      <c r="CD22" s="65">
        <f>AQ22</f>
        <v>0</v>
      </c>
      <c r="CE22" s="65">
        <f>AT22</f>
        <v>0</v>
      </c>
      <c r="CF22" s="65">
        <f>AW22</f>
        <v>0</v>
      </c>
      <c r="CG22" s="65">
        <f>AZ22</f>
        <v>0</v>
      </c>
      <c r="CH22" s="65">
        <f>BC22</f>
        <v>0</v>
      </c>
      <c r="CI22" s="65">
        <f>BF22</f>
        <v>0</v>
      </c>
      <c r="CJ22" s="65">
        <f>BI22</f>
        <v>0</v>
      </c>
      <c r="CK22" s="65">
        <f>BL22</f>
        <v>0</v>
      </c>
      <c r="CL22" s="65">
        <f>BO22</f>
        <v>0</v>
      </c>
      <c r="CM22" s="65">
        <f>BR22</f>
        <v>0</v>
      </c>
      <c r="CN22" s="65">
        <f>BU22</f>
        <v>624</v>
      </c>
      <c r="CO22" s="63">
        <f>LARGE(BW22:CN22,1)</f>
        <v>738</v>
      </c>
      <c r="CP22" s="63">
        <f>LARGE(BW22:CN22,2)</f>
        <v>637</v>
      </c>
      <c r="CQ22" s="63">
        <f>LARGE(BW22:CN22,3)</f>
        <v>624</v>
      </c>
      <c r="CR22" s="63">
        <f>LARGE(BW22:CN22,4)</f>
        <v>236</v>
      </c>
      <c r="CS22" s="63">
        <f>LARGE(BW22:CN22,5)</f>
        <v>0</v>
      </c>
      <c r="CT22" s="2"/>
      <c r="CU22" s="86"/>
      <c r="CV22" s="57"/>
      <c r="CW22" s="2"/>
      <c r="CX22" s="86"/>
      <c r="CY22" s="57"/>
      <c r="CZ22" s="2"/>
      <c r="DA22" s="86"/>
      <c r="DB22" s="57"/>
      <c r="DC22" s="2"/>
      <c r="DD22" s="120"/>
      <c r="DE22" s="57"/>
      <c r="DF22" s="2"/>
      <c r="DG22" s="120"/>
      <c r="DH22" s="57"/>
    </row>
    <row r="23" spans="1:112" ht="15">
      <c r="A23" s="199" t="s">
        <v>57</v>
      </c>
      <c r="B23" s="199" t="s">
        <v>58</v>
      </c>
      <c r="C23" s="335" t="s">
        <v>59</v>
      </c>
      <c r="D23" s="201"/>
      <c r="E23" s="92" t="s">
        <v>20</v>
      </c>
      <c r="F23" s="90"/>
      <c r="G23" s="92"/>
      <c r="H23" s="52" t="s">
        <v>44</v>
      </c>
      <c r="I23" s="30">
        <v>4.26</v>
      </c>
      <c r="J23" s="99">
        <v>351</v>
      </c>
      <c r="K23" s="35"/>
      <c r="L23" s="30"/>
      <c r="M23" s="55"/>
      <c r="N23" s="49"/>
      <c r="O23" s="80"/>
      <c r="P23" s="55"/>
      <c r="Q23" s="49"/>
      <c r="R23" s="80"/>
      <c r="S23" s="55"/>
      <c r="T23" s="77"/>
      <c r="U23" s="80"/>
      <c r="V23" s="55"/>
      <c r="W23" s="52"/>
      <c r="X23" s="30"/>
      <c r="Y23" s="71"/>
      <c r="Z23" s="102"/>
      <c r="AA23" s="77"/>
      <c r="AB23" s="100"/>
      <c r="AC23" s="35"/>
      <c r="AD23" s="68"/>
      <c r="AE23" s="36"/>
      <c r="AF23" s="35"/>
      <c r="AG23" s="68"/>
      <c r="AH23" s="36"/>
      <c r="AI23" s="35"/>
      <c r="AJ23" s="30"/>
      <c r="AK23" s="38"/>
      <c r="AL23" s="35"/>
      <c r="AM23" s="68"/>
      <c r="AN23" s="38"/>
      <c r="AO23" s="35"/>
      <c r="AP23" s="68"/>
      <c r="AQ23" s="38"/>
      <c r="AR23" s="35"/>
      <c r="AS23" s="68"/>
      <c r="AT23" s="38"/>
      <c r="AU23" s="35"/>
      <c r="AV23" s="30"/>
      <c r="AW23" s="38"/>
      <c r="AX23" s="35"/>
      <c r="AY23" s="68"/>
      <c r="AZ23" s="28"/>
      <c r="BA23" s="35"/>
      <c r="BB23" s="68"/>
      <c r="BC23" s="28"/>
      <c r="BD23" s="35"/>
      <c r="BE23" s="68"/>
      <c r="BF23" s="28"/>
      <c r="BG23" s="35"/>
      <c r="BH23" s="68"/>
      <c r="BI23" s="28"/>
      <c r="BJ23" s="35"/>
      <c r="BK23" s="68"/>
      <c r="BL23" s="28"/>
      <c r="BM23" s="35"/>
      <c r="BN23" s="68"/>
      <c r="BO23" s="28"/>
      <c r="BP23" s="35"/>
      <c r="BQ23" s="68"/>
      <c r="BR23" s="28"/>
      <c r="BS23" s="35"/>
      <c r="BT23" s="68"/>
      <c r="BU23" s="28"/>
      <c r="BV23">
        <f>COUNTA(BL23,BI23,BF23,BC23,AW23,AT23,AQ23,AZ23,AN23,AK23,AH23,AE23,Y23,M23,BO23,BR23,BU23,J23)</f>
        <v>1</v>
      </c>
      <c r="BW23" s="65">
        <f>J23</f>
        <v>351</v>
      </c>
      <c r="BX23" s="65">
        <f>M23</f>
        <v>0</v>
      </c>
      <c r="BY23" s="65">
        <f>Y23</f>
        <v>0</v>
      </c>
      <c r="BZ23" s="65">
        <f>AE23</f>
        <v>0</v>
      </c>
      <c r="CA23" s="65">
        <f>AH23</f>
        <v>0</v>
      </c>
      <c r="CB23" s="65">
        <f>AK23</f>
        <v>0</v>
      </c>
      <c r="CC23" s="65">
        <f>AN23</f>
        <v>0</v>
      </c>
      <c r="CD23" s="65">
        <f>AQ23</f>
        <v>0</v>
      </c>
      <c r="CE23" s="65">
        <f>AT23</f>
        <v>0</v>
      </c>
      <c r="CF23" s="65">
        <f>AW23</f>
        <v>0</v>
      </c>
      <c r="CG23" s="65">
        <f>AZ23</f>
        <v>0</v>
      </c>
      <c r="CH23" s="65">
        <f>BC23</f>
        <v>0</v>
      </c>
      <c r="CI23" s="65">
        <f>BF23</f>
        <v>0</v>
      </c>
      <c r="CJ23" s="65">
        <f>BI23</f>
        <v>0</v>
      </c>
      <c r="CK23" s="65">
        <f>BL23</f>
        <v>0</v>
      </c>
      <c r="CL23" s="65">
        <f>BO23</f>
        <v>0</v>
      </c>
      <c r="CM23" s="65">
        <f>BR23</f>
        <v>0</v>
      </c>
      <c r="CN23" s="65">
        <f>BU23</f>
        <v>0</v>
      </c>
      <c r="CO23" s="63">
        <f>LARGE(BW23:CN23,1)</f>
        <v>351</v>
      </c>
      <c r="CP23" s="63">
        <f>LARGE(BW23:CN23,2)</f>
        <v>0</v>
      </c>
      <c r="CQ23" s="63">
        <f>LARGE(BW23:CN23,3)</f>
        <v>0</v>
      </c>
      <c r="CR23" s="63">
        <f>LARGE(BW23:CN23,4)</f>
        <v>0</v>
      </c>
      <c r="CS23" s="63">
        <f>LARGE(BW23:CN23,5)</f>
        <v>0</v>
      </c>
      <c r="CT23" s="2"/>
      <c r="CU23" s="86"/>
      <c r="CV23" s="57"/>
      <c r="CW23" s="2"/>
      <c r="CX23" s="86"/>
      <c r="CY23" s="57"/>
      <c r="CZ23" s="2"/>
      <c r="DA23" s="86"/>
      <c r="DB23" s="57"/>
      <c r="DC23" s="2"/>
      <c r="DD23" s="120"/>
      <c r="DE23" s="57"/>
      <c r="DF23" s="2"/>
      <c r="DG23" s="120"/>
      <c r="DH23" s="57"/>
    </row>
    <row r="24" spans="1:112" ht="15">
      <c r="A24" s="199" t="s">
        <v>300</v>
      </c>
      <c r="B24" s="199" t="s">
        <v>301</v>
      </c>
      <c r="C24" s="335" t="s">
        <v>35</v>
      </c>
      <c r="D24" s="201"/>
      <c r="E24" s="92" t="s">
        <v>39</v>
      </c>
      <c r="F24" s="90"/>
      <c r="G24" s="92"/>
      <c r="H24" s="52"/>
      <c r="I24" s="30"/>
      <c r="J24" s="99"/>
      <c r="K24" s="35"/>
      <c r="L24" s="30"/>
      <c r="M24" s="55"/>
      <c r="N24" s="49" t="s">
        <v>223</v>
      </c>
      <c r="O24" s="80">
        <v>1.55</v>
      </c>
      <c r="P24" s="55">
        <v>527</v>
      </c>
      <c r="Q24" s="49" t="s">
        <v>44</v>
      </c>
      <c r="R24" s="80">
        <v>5.45</v>
      </c>
      <c r="S24" s="55">
        <v>595</v>
      </c>
      <c r="T24" s="77"/>
      <c r="U24" s="80"/>
      <c r="V24" s="55"/>
      <c r="W24" s="52"/>
      <c r="X24" s="30"/>
      <c r="Y24" s="71"/>
      <c r="Z24" s="102"/>
      <c r="AA24" s="77"/>
      <c r="AB24" s="100"/>
      <c r="AC24" s="35"/>
      <c r="AD24" s="68"/>
      <c r="AE24" s="36"/>
      <c r="AF24" s="35"/>
      <c r="AG24" s="68"/>
      <c r="AH24" s="36"/>
      <c r="AI24" s="35"/>
      <c r="AJ24" s="30"/>
      <c r="AK24" s="38"/>
      <c r="AL24" s="35"/>
      <c r="AM24" s="68"/>
      <c r="AN24" s="38"/>
      <c r="AO24" s="35"/>
      <c r="AP24" s="68"/>
      <c r="AQ24" s="38"/>
      <c r="AR24" s="35"/>
      <c r="AS24" s="68"/>
      <c r="AT24" s="38"/>
      <c r="AU24" s="35"/>
      <c r="AV24" s="30"/>
      <c r="AW24" s="38"/>
      <c r="AX24" s="35"/>
      <c r="AY24" s="68"/>
      <c r="AZ24" s="28"/>
      <c r="BA24" s="35"/>
      <c r="BB24" s="68"/>
      <c r="BC24" s="28"/>
      <c r="BD24" s="35"/>
      <c r="BE24" s="68"/>
      <c r="BF24" s="28"/>
      <c r="BG24" s="35"/>
      <c r="BH24" s="68"/>
      <c r="BI24" s="28"/>
      <c r="BJ24" s="35"/>
      <c r="BK24" s="68"/>
      <c r="BL24" s="28"/>
      <c r="BM24" s="35"/>
      <c r="BN24" s="68"/>
      <c r="BO24" s="28"/>
      <c r="BP24" s="35"/>
      <c r="BQ24" s="68"/>
      <c r="BR24" s="28"/>
      <c r="BS24" s="35"/>
      <c r="BT24" s="68"/>
      <c r="BU24" s="28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3"/>
      <c r="CP24" s="63"/>
      <c r="CQ24" s="63"/>
      <c r="CR24" s="63"/>
      <c r="CS24" s="63"/>
      <c r="CT24" s="2"/>
      <c r="CU24" s="86"/>
      <c r="CV24" s="57"/>
      <c r="CW24" s="2"/>
      <c r="CX24" s="86"/>
      <c r="CY24" s="57"/>
      <c r="CZ24" s="2"/>
      <c r="DA24" s="86"/>
      <c r="DB24" s="57"/>
      <c r="DC24" s="2"/>
      <c r="DD24" s="120"/>
      <c r="DE24" s="57"/>
      <c r="DF24" s="2"/>
      <c r="DG24" s="120"/>
      <c r="DH24" s="57"/>
    </row>
    <row r="25" spans="1:112" ht="15">
      <c r="A25" s="199" t="s">
        <v>241</v>
      </c>
      <c r="B25" s="199" t="s">
        <v>242</v>
      </c>
      <c r="C25" s="335" t="s">
        <v>35</v>
      </c>
      <c r="D25" s="201"/>
      <c r="E25" s="92" t="s">
        <v>11</v>
      </c>
      <c r="F25" s="90"/>
      <c r="G25" s="92"/>
      <c r="H25" s="52"/>
      <c r="I25" s="30"/>
      <c r="J25" s="99"/>
      <c r="K25" s="35"/>
      <c r="L25" s="30"/>
      <c r="M25" s="55"/>
      <c r="N25" s="49" t="s">
        <v>223</v>
      </c>
      <c r="O25" s="80">
        <v>1.4</v>
      </c>
      <c r="P25" s="55">
        <v>401</v>
      </c>
      <c r="Q25" s="49" t="s">
        <v>321</v>
      </c>
      <c r="R25" s="80">
        <v>4.63</v>
      </c>
      <c r="S25" s="55">
        <v>426</v>
      </c>
      <c r="T25" s="77"/>
      <c r="U25" s="80"/>
      <c r="V25" s="55"/>
      <c r="W25" s="52"/>
      <c r="X25" s="30"/>
      <c r="Y25" s="71"/>
      <c r="Z25" s="102"/>
      <c r="AA25" s="77"/>
      <c r="AB25" s="100"/>
      <c r="AC25" s="35" t="s">
        <v>44</v>
      </c>
      <c r="AD25" s="68">
        <v>5.06</v>
      </c>
      <c r="AE25" s="36">
        <v>515</v>
      </c>
      <c r="AF25" s="35"/>
      <c r="AG25" s="68"/>
      <c r="AH25" s="36"/>
      <c r="AI25" s="35"/>
      <c r="AJ25" s="30"/>
      <c r="AK25" s="38"/>
      <c r="AL25" s="35"/>
      <c r="AM25" s="68"/>
      <c r="AN25" s="38"/>
      <c r="AO25" s="35"/>
      <c r="AP25" s="68"/>
      <c r="AQ25" s="38"/>
      <c r="AR25" s="35"/>
      <c r="AS25" s="68"/>
      <c r="AT25" s="38"/>
      <c r="AU25" s="35"/>
      <c r="AV25" s="30"/>
      <c r="AW25" s="38"/>
      <c r="AX25" s="35"/>
      <c r="AY25" s="68"/>
      <c r="AZ25" s="28"/>
      <c r="BA25" s="35"/>
      <c r="BB25" s="68"/>
      <c r="BC25" s="28"/>
      <c r="BD25" s="35"/>
      <c r="BE25" s="68"/>
      <c r="BF25" s="28"/>
      <c r="BG25" s="35" t="s">
        <v>222</v>
      </c>
      <c r="BH25" s="68">
        <v>1.49</v>
      </c>
      <c r="BI25" s="28">
        <v>477</v>
      </c>
      <c r="BJ25" s="35" t="s">
        <v>18</v>
      </c>
      <c r="BK25" s="68">
        <v>5.34</v>
      </c>
      <c r="BL25" s="28">
        <v>573</v>
      </c>
      <c r="BM25" s="35"/>
      <c r="BN25" s="68"/>
      <c r="BO25" s="28"/>
      <c r="BP25" s="35"/>
      <c r="BQ25" s="68"/>
      <c r="BR25" s="28"/>
      <c r="BS25" s="35"/>
      <c r="BT25" s="68"/>
      <c r="BU25" s="28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3"/>
      <c r="CP25" s="63"/>
      <c r="CQ25" s="63"/>
      <c r="CR25" s="63"/>
      <c r="CS25" s="63"/>
      <c r="CT25" s="2"/>
      <c r="CU25" s="86"/>
      <c r="CV25" s="57"/>
      <c r="CW25" s="2"/>
      <c r="CX25" s="86"/>
      <c r="CY25" s="57"/>
      <c r="CZ25" s="2"/>
      <c r="DA25" s="86"/>
      <c r="DB25" s="57"/>
      <c r="DC25" s="2"/>
      <c r="DD25" s="120"/>
      <c r="DE25" s="57"/>
      <c r="DF25" s="2"/>
      <c r="DG25" s="120"/>
      <c r="DH25" s="57"/>
    </row>
    <row r="26" spans="1:112" ht="15">
      <c r="A26" s="199" t="s">
        <v>233</v>
      </c>
      <c r="B26" s="199" t="s">
        <v>234</v>
      </c>
      <c r="C26" s="335" t="s">
        <v>35</v>
      </c>
      <c r="D26" s="201"/>
      <c r="E26" s="92" t="s">
        <v>61</v>
      </c>
      <c r="F26" s="90"/>
      <c r="G26" s="92"/>
      <c r="H26" s="52"/>
      <c r="I26" s="30"/>
      <c r="J26" s="99"/>
      <c r="K26" s="35"/>
      <c r="L26" s="30"/>
      <c r="M26" s="55"/>
      <c r="N26" s="49"/>
      <c r="O26" s="80"/>
      <c r="P26" s="55"/>
      <c r="Q26" s="49"/>
      <c r="R26" s="80"/>
      <c r="S26" s="55"/>
      <c r="T26" s="77"/>
      <c r="U26" s="80"/>
      <c r="V26" s="55"/>
      <c r="W26" s="52" t="s">
        <v>223</v>
      </c>
      <c r="X26" s="30">
        <v>1.55</v>
      </c>
      <c r="Y26" s="71">
        <v>527</v>
      </c>
      <c r="Z26" s="102"/>
      <c r="AA26" s="77"/>
      <c r="AB26" s="100"/>
      <c r="AC26" s="35"/>
      <c r="AD26" s="68"/>
      <c r="AE26" s="36"/>
      <c r="AF26" s="35"/>
      <c r="AG26" s="68"/>
      <c r="AH26" s="36"/>
      <c r="AI26" s="35"/>
      <c r="AJ26" s="30"/>
      <c r="AK26" s="38"/>
      <c r="AL26" s="35"/>
      <c r="AM26" s="68"/>
      <c r="AN26" s="38"/>
      <c r="AO26" s="35"/>
      <c r="AP26" s="68"/>
      <c r="AQ26" s="38"/>
      <c r="AR26" s="35"/>
      <c r="AS26" s="68"/>
      <c r="AT26" s="38"/>
      <c r="AU26" s="35"/>
      <c r="AV26" s="30"/>
      <c r="AW26" s="38"/>
      <c r="AX26" s="35"/>
      <c r="AY26" s="68"/>
      <c r="AZ26" s="28"/>
      <c r="BA26" s="35"/>
      <c r="BB26" s="68"/>
      <c r="BC26" s="28"/>
      <c r="BD26" s="35"/>
      <c r="BE26" s="68"/>
      <c r="BF26" s="28"/>
      <c r="BG26" s="35"/>
      <c r="BH26" s="68"/>
      <c r="BI26" s="28"/>
      <c r="BJ26" s="35"/>
      <c r="BK26" s="68"/>
      <c r="BL26" s="28"/>
      <c r="BM26" s="35"/>
      <c r="BN26" s="68"/>
      <c r="BO26" s="28"/>
      <c r="BP26" s="35"/>
      <c r="BQ26" s="68"/>
      <c r="BR26" s="28"/>
      <c r="BS26" s="35"/>
      <c r="BT26" s="68"/>
      <c r="BU26" s="28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3"/>
      <c r="CP26" s="63"/>
      <c r="CQ26" s="63"/>
      <c r="CR26" s="63"/>
      <c r="CS26" s="63"/>
      <c r="CT26" s="2"/>
      <c r="CU26" s="86"/>
      <c r="CV26" s="57"/>
      <c r="CW26" s="2"/>
      <c r="CX26" s="86"/>
      <c r="CY26" s="57"/>
      <c r="CZ26" s="2"/>
      <c r="DA26" s="86"/>
      <c r="DB26" s="57"/>
      <c r="DC26" s="2"/>
      <c r="DD26" s="120"/>
      <c r="DE26" s="57"/>
      <c r="DF26" s="2"/>
      <c r="DG26" s="120"/>
      <c r="DH26" s="57"/>
    </row>
    <row r="27" spans="1:112" ht="15">
      <c r="A27" s="199" t="s">
        <v>63</v>
      </c>
      <c r="B27" s="199" t="s">
        <v>64</v>
      </c>
      <c r="C27" s="335" t="s">
        <v>47</v>
      </c>
      <c r="D27" s="201"/>
      <c r="E27" s="92" t="s">
        <v>61</v>
      </c>
      <c r="F27" s="90"/>
      <c r="G27" s="92"/>
      <c r="H27" s="52"/>
      <c r="I27" s="30"/>
      <c r="J27" s="99"/>
      <c r="K27" s="35" t="s">
        <v>62</v>
      </c>
      <c r="L27" s="30">
        <v>8.82</v>
      </c>
      <c r="M27" s="55">
        <v>591</v>
      </c>
      <c r="N27" s="49"/>
      <c r="O27" s="80"/>
      <c r="P27" s="55"/>
      <c r="Q27" s="49"/>
      <c r="R27" s="80"/>
      <c r="S27" s="55"/>
      <c r="T27" s="77"/>
      <c r="U27" s="80"/>
      <c r="V27" s="55"/>
      <c r="W27" s="52"/>
      <c r="X27" s="30"/>
      <c r="Y27" s="71"/>
      <c r="Z27" s="102"/>
      <c r="AA27" s="77"/>
      <c r="AB27" s="100"/>
      <c r="AC27" s="35"/>
      <c r="AD27" s="68"/>
      <c r="AE27" s="36"/>
      <c r="AF27" s="35"/>
      <c r="AG27" s="68"/>
      <c r="AH27" s="36"/>
      <c r="AI27" s="35"/>
      <c r="AJ27" s="30"/>
      <c r="AK27" s="38"/>
      <c r="AL27" s="35"/>
      <c r="AM27" s="68"/>
      <c r="AN27" s="38"/>
      <c r="AO27" s="35"/>
      <c r="AP27" s="68"/>
      <c r="AQ27" s="38"/>
      <c r="AR27" s="35"/>
      <c r="AS27" s="68"/>
      <c r="AT27" s="38"/>
      <c r="AU27" s="35"/>
      <c r="AV27" s="30"/>
      <c r="AW27" s="38"/>
      <c r="AX27" s="35"/>
      <c r="AY27" s="68"/>
      <c r="AZ27" s="28"/>
      <c r="BA27" s="35"/>
      <c r="BB27" s="68"/>
      <c r="BC27" s="28"/>
      <c r="BD27" s="35"/>
      <c r="BE27" s="68"/>
      <c r="BF27" s="28"/>
      <c r="BG27" s="35"/>
      <c r="BH27" s="68"/>
      <c r="BI27" s="28"/>
      <c r="BJ27" s="35"/>
      <c r="BK27" s="68"/>
      <c r="BL27" s="28"/>
      <c r="BM27" s="35"/>
      <c r="BN27" s="68"/>
      <c r="BO27" s="28"/>
      <c r="BP27" s="35"/>
      <c r="BQ27" s="68"/>
      <c r="BR27" s="28"/>
      <c r="BS27" s="35"/>
      <c r="BT27" s="68"/>
      <c r="BU27" s="28"/>
      <c r="BV27">
        <f>COUNTA(BL27,BI27,BF27,BC27,AW27,AT27,AQ27,AZ27,AN27,AK27,AH27,AE27,Y27,M27,BO27,BR27,BU27,J27)</f>
        <v>1</v>
      </c>
      <c r="BW27" s="65">
        <f>J27</f>
        <v>0</v>
      </c>
      <c r="BX27" s="65">
        <f>M27</f>
        <v>591</v>
      </c>
      <c r="BY27" s="65">
        <f>Y27</f>
        <v>0</v>
      </c>
      <c r="BZ27" s="65">
        <f>AE27</f>
        <v>0</v>
      </c>
      <c r="CA27" s="65">
        <f>AH27</f>
        <v>0</v>
      </c>
      <c r="CB27" s="65">
        <f>AK27</f>
        <v>0</v>
      </c>
      <c r="CC27" s="65">
        <f>AN27</f>
        <v>0</v>
      </c>
      <c r="CD27" s="65">
        <f>AQ27</f>
        <v>0</v>
      </c>
      <c r="CE27" s="65">
        <f>AT27</f>
        <v>0</v>
      </c>
      <c r="CF27" s="65">
        <f>AW27</f>
        <v>0</v>
      </c>
      <c r="CG27" s="65">
        <f>AZ27</f>
        <v>0</v>
      </c>
      <c r="CH27" s="65">
        <f>BC27</f>
        <v>0</v>
      </c>
      <c r="CI27" s="65">
        <f>BF27</f>
        <v>0</v>
      </c>
      <c r="CJ27" s="65">
        <f>BI27</f>
        <v>0</v>
      </c>
      <c r="CK27" s="65">
        <f>BL27</f>
        <v>0</v>
      </c>
      <c r="CL27" s="65">
        <f>BO27</f>
        <v>0</v>
      </c>
      <c r="CM27" s="65">
        <f>BR27</f>
        <v>0</v>
      </c>
      <c r="CN27" s="65">
        <f>BU27</f>
        <v>0</v>
      </c>
      <c r="CO27" s="63">
        <f>LARGE(BW27:CN27,1)</f>
        <v>591</v>
      </c>
      <c r="CP27" s="63">
        <f>LARGE(BW27:CN27,2)</f>
        <v>0</v>
      </c>
      <c r="CQ27" s="63">
        <f>LARGE(BW27:CN27,3)</f>
        <v>0</v>
      </c>
      <c r="CR27" s="63">
        <f>LARGE(BW27:CN27,4)</f>
        <v>0</v>
      </c>
      <c r="CS27" s="63">
        <f>LARGE(BW27:CN27,5)</f>
        <v>0</v>
      </c>
      <c r="CT27" s="2"/>
      <c r="CU27" s="86"/>
      <c r="CV27" s="57"/>
      <c r="CW27" s="2"/>
      <c r="CX27" s="86"/>
      <c r="CY27" s="57"/>
      <c r="CZ27" s="2"/>
      <c r="DA27" s="86"/>
      <c r="DB27" s="57"/>
      <c r="DC27" s="2"/>
      <c r="DD27" s="120"/>
      <c r="DE27" s="57"/>
      <c r="DF27" s="2"/>
      <c r="DG27" s="120"/>
      <c r="DH27" s="57"/>
    </row>
    <row r="28" spans="1:112" ht="15">
      <c r="A28" s="204" t="s">
        <v>10</v>
      </c>
      <c r="B28" s="204" t="s">
        <v>181</v>
      </c>
      <c r="C28" s="336" t="s">
        <v>35</v>
      </c>
      <c r="D28" s="213"/>
      <c r="E28" s="90" t="s">
        <v>11</v>
      </c>
      <c r="F28" s="90"/>
      <c r="G28" s="91"/>
      <c r="H28" s="52"/>
      <c r="I28" s="68"/>
      <c r="J28" s="99"/>
      <c r="K28" s="35"/>
      <c r="L28" s="30"/>
      <c r="M28" s="55"/>
      <c r="N28" s="49" t="s">
        <v>222</v>
      </c>
      <c r="O28" s="80">
        <v>1.9</v>
      </c>
      <c r="P28" s="55">
        <v>827</v>
      </c>
      <c r="Q28" s="49"/>
      <c r="R28" s="80"/>
      <c r="S28" s="55"/>
      <c r="T28" s="77"/>
      <c r="U28" s="80"/>
      <c r="V28" s="55"/>
      <c r="W28" s="52" t="s">
        <v>223</v>
      </c>
      <c r="X28" s="30">
        <v>1.92</v>
      </c>
      <c r="Y28" s="71">
        <v>844</v>
      </c>
      <c r="Z28" s="102"/>
      <c r="AA28" s="77"/>
      <c r="AB28" s="100"/>
      <c r="AC28" s="35"/>
      <c r="AD28" s="68"/>
      <c r="AE28" s="36"/>
      <c r="AF28" s="35"/>
      <c r="AG28" s="68"/>
      <c r="AH28" s="36"/>
      <c r="AI28" s="35"/>
      <c r="AJ28" s="30"/>
      <c r="AK28" s="38"/>
      <c r="AL28" s="35" t="s">
        <v>223</v>
      </c>
      <c r="AM28" s="68">
        <v>1.85</v>
      </c>
      <c r="AN28" s="38">
        <v>784</v>
      </c>
      <c r="AO28" s="35" t="s">
        <v>217</v>
      </c>
      <c r="AP28" s="68">
        <v>4.1</v>
      </c>
      <c r="AQ28" s="38">
        <v>753</v>
      </c>
      <c r="AR28" s="35" t="s">
        <v>44</v>
      </c>
      <c r="AS28" s="68">
        <v>6.12</v>
      </c>
      <c r="AT28" s="38">
        <v>735</v>
      </c>
      <c r="AU28" s="35"/>
      <c r="AV28" s="30"/>
      <c r="AW28" s="38"/>
      <c r="AX28" s="35"/>
      <c r="AY28" s="68"/>
      <c r="AZ28" s="28"/>
      <c r="BA28" s="35"/>
      <c r="BB28" s="68"/>
      <c r="BC28" s="28"/>
      <c r="BD28" s="35"/>
      <c r="BE28" s="68"/>
      <c r="BF28" s="28"/>
      <c r="BG28" s="35"/>
      <c r="BH28" s="68"/>
      <c r="BI28" s="28"/>
      <c r="BJ28" s="35"/>
      <c r="BK28" s="68"/>
      <c r="BL28" s="28"/>
      <c r="BM28" s="35"/>
      <c r="BN28" s="68"/>
      <c r="BO28" s="28"/>
      <c r="BP28" s="35"/>
      <c r="BQ28" s="68"/>
      <c r="BR28" s="28"/>
      <c r="BS28" s="35"/>
      <c r="BT28" s="68"/>
      <c r="BU28" s="28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3"/>
      <c r="CP28" s="63"/>
      <c r="CQ28" s="63"/>
      <c r="CR28" s="63"/>
      <c r="CS28" s="63"/>
      <c r="CT28" s="2"/>
      <c r="CU28" s="86"/>
      <c r="CV28" s="57"/>
      <c r="CW28" s="2"/>
      <c r="CX28" s="86"/>
      <c r="CY28" s="57"/>
      <c r="CZ28" s="2"/>
      <c r="DA28" s="86"/>
      <c r="DB28" s="57"/>
      <c r="DC28" s="2"/>
      <c r="DD28" s="120"/>
      <c r="DE28" s="57"/>
      <c r="DF28" s="2"/>
      <c r="DG28" s="120"/>
      <c r="DH28" s="57"/>
    </row>
    <row r="29" spans="1:112" ht="15">
      <c r="A29" s="204" t="s">
        <v>239</v>
      </c>
      <c r="B29" s="204" t="s">
        <v>240</v>
      </c>
      <c r="C29" s="336" t="s">
        <v>47</v>
      </c>
      <c r="D29" s="213"/>
      <c r="E29" s="90" t="s">
        <v>11</v>
      </c>
      <c r="F29" s="90"/>
      <c r="G29" s="91"/>
      <c r="H29" s="52"/>
      <c r="I29" s="68"/>
      <c r="J29" s="99"/>
      <c r="K29" s="35"/>
      <c r="L29" s="30"/>
      <c r="M29" s="55"/>
      <c r="N29" s="49"/>
      <c r="O29" s="80"/>
      <c r="P29" s="55"/>
      <c r="Q29" s="49"/>
      <c r="R29" s="80"/>
      <c r="S29" s="55"/>
      <c r="T29" s="77"/>
      <c r="U29" s="80"/>
      <c r="V29" s="55"/>
      <c r="W29" s="52"/>
      <c r="X29" s="30"/>
      <c r="Y29" s="71"/>
      <c r="Z29" s="102"/>
      <c r="AA29" s="77"/>
      <c r="AB29" s="100"/>
      <c r="AC29" s="35" t="s">
        <v>256</v>
      </c>
      <c r="AD29" s="68">
        <v>9.69</v>
      </c>
      <c r="AE29" s="36">
        <v>675</v>
      </c>
      <c r="AF29" s="35"/>
      <c r="AG29" s="68"/>
      <c r="AH29" s="36"/>
      <c r="AI29" s="35"/>
      <c r="AJ29" s="30"/>
      <c r="AK29" s="38"/>
      <c r="AL29" s="35"/>
      <c r="AM29" s="68"/>
      <c r="AN29" s="38"/>
      <c r="AO29" s="35"/>
      <c r="AP29" s="68"/>
      <c r="AQ29" s="38"/>
      <c r="AR29" s="35"/>
      <c r="AS29" s="68"/>
      <c r="AT29" s="38"/>
      <c r="AU29" s="35"/>
      <c r="AV29" s="30"/>
      <c r="AW29" s="38"/>
      <c r="AX29" s="35"/>
      <c r="AY29" s="68"/>
      <c r="AZ29" s="28"/>
      <c r="BA29" s="35"/>
      <c r="BB29" s="68"/>
      <c r="BC29" s="28"/>
      <c r="BD29" s="35"/>
      <c r="BE29" s="68"/>
      <c r="BF29" s="28"/>
      <c r="BG29" s="35"/>
      <c r="BH29" s="68"/>
      <c r="BI29" s="28"/>
      <c r="BJ29" s="35"/>
      <c r="BK29" s="68"/>
      <c r="BL29" s="28"/>
      <c r="BM29" s="35"/>
      <c r="BN29" s="68"/>
      <c r="BO29" s="28"/>
      <c r="BP29" s="35"/>
      <c r="BQ29" s="68"/>
      <c r="BR29" s="28"/>
      <c r="BS29" s="35"/>
      <c r="BT29" s="68"/>
      <c r="BU29" s="28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3"/>
      <c r="CP29" s="63"/>
      <c r="CQ29" s="63"/>
      <c r="CR29" s="63"/>
      <c r="CS29" s="63"/>
      <c r="CT29" s="2"/>
      <c r="CU29" s="86"/>
      <c r="CV29" s="57"/>
      <c r="CW29" s="2"/>
      <c r="CX29" s="86"/>
      <c r="CY29" s="57"/>
      <c r="CZ29" s="2"/>
      <c r="DA29" s="86"/>
      <c r="DB29" s="57"/>
      <c r="DC29" s="2"/>
      <c r="DD29" s="120"/>
      <c r="DE29" s="57"/>
      <c r="DF29" s="2"/>
      <c r="DG29" s="120"/>
      <c r="DH29" s="57"/>
    </row>
    <row r="30" spans="1:112" ht="15">
      <c r="A30" s="199" t="s">
        <v>2</v>
      </c>
      <c r="B30" s="199" t="s">
        <v>48</v>
      </c>
      <c r="C30" s="335" t="s">
        <v>47</v>
      </c>
      <c r="D30" s="201"/>
      <c r="E30" s="92" t="s">
        <v>61</v>
      </c>
      <c r="F30" s="90"/>
      <c r="G30" s="92"/>
      <c r="H30" s="52"/>
      <c r="I30" s="30"/>
      <c r="J30" s="99"/>
      <c r="K30" s="35" t="s">
        <v>62</v>
      </c>
      <c r="L30" s="30">
        <v>8.84</v>
      </c>
      <c r="M30" s="55">
        <v>593</v>
      </c>
      <c r="N30" s="49"/>
      <c r="O30" s="80"/>
      <c r="P30" s="55"/>
      <c r="Q30" s="49"/>
      <c r="R30" s="80"/>
      <c r="S30" s="55"/>
      <c r="T30" s="77"/>
      <c r="U30" s="80"/>
      <c r="V30" s="55"/>
      <c r="W30" s="52"/>
      <c r="X30" s="30"/>
      <c r="Y30" s="71"/>
      <c r="Z30" s="102"/>
      <c r="AA30" s="77"/>
      <c r="AB30" s="100"/>
      <c r="AC30" s="35"/>
      <c r="AD30" s="68"/>
      <c r="AE30" s="36"/>
      <c r="AF30" s="35"/>
      <c r="AG30" s="68"/>
      <c r="AH30" s="36"/>
      <c r="AI30" s="35"/>
      <c r="AJ30" s="30"/>
      <c r="AK30" s="38"/>
      <c r="AL30" s="35"/>
      <c r="AM30" s="68"/>
      <c r="AN30" s="38"/>
      <c r="AO30" s="35"/>
      <c r="AP30" s="68"/>
      <c r="AQ30" s="38"/>
      <c r="AR30" s="35"/>
      <c r="AS30" s="68"/>
      <c r="AT30" s="38"/>
      <c r="AU30" s="35"/>
      <c r="AV30" s="30"/>
      <c r="AW30" s="38"/>
      <c r="AX30" s="35"/>
      <c r="AY30" s="68"/>
      <c r="AZ30" s="28"/>
      <c r="BA30" s="35"/>
      <c r="BB30" s="68"/>
      <c r="BC30" s="28"/>
      <c r="BD30" s="35"/>
      <c r="BE30" s="68"/>
      <c r="BF30" s="28"/>
      <c r="BG30" s="35"/>
      <c r="BH30" s="68"/>
      <c r="BI30" s="28"/>
      <c r="BJ30" s="35"/>
      <c r="BK30" s="68"/>
      <c r="BL30" s="28"/>
      <c r="BM30" s="35"/>
      <c r="BN30" s="68"/>
      <c r="BO30" s="28"/>
      <c r="BP30" s="35"/>
      <c r="BQ30" s="68"/>
      <c r="BR30" s="28"/>
      <c r="BS30" s="35"/>
      <c r="BT30" s="68"/>
      <c r="BU30" s="28"/>
      <c r="BV30">
        <f aca="true" t="shared" si="0" ref="BV30:BV35">COUNTA(BL30,BI30,BF30,BC30,AW30,AT30,AQ30,AZ30,AN30,AK30,AH30,AE30,Y30,M30,BO30,BR30,BU30,J30)</f>
        <v>1</v>
      </c>
      <c r="BW30" s="65">
        <f aca="true" t="shared" si="1" ref="BW30:BW35">J30</f>
        <v>0</v>
      </c>
      <c r="BX30" s="65">
        <f aca="true" t="shared" si="2" ref="BX30:BX35">M30</f>
        <v>593</v>
      </c>
      <c r="BY30" s="65">
        <f aca="true" t="shared" si="3" ref="BY30:BY35">Y30</f>
        <v>0</v>
      </c>
      <c r="BZ30" s="65">
        <f aca="true" t="shared" si="4" ref="BZ30:BZ35">AE30</f>
        <v>0</v>
      </c>
      <c r="CA30" s="65">
        <f aca="true" t="shared" si="5" ref="CA30:CA35">AH30</f>
        <v>0</v>
      </c>
      <c r="CB30" s="65">
        <f aca="true" t="shared" si="6" ref="CB30:CB35">AK30</f>
        <v>0</v>
      </c>
      <c r="CC30" s="65">
        <f aca="true" t="shared" si="7" ref="CC30:CC35">AN30</f>
        <v>0</v>
      </c>
      <c r="CD30" s="65">
        <f aca="true" t="shared" si="8" ref="CD30:CD35">AQ30</f>
        <v>0</v>
      </c>
      <c r="CE30" s="65">
        <f aca="true" t="shared" si="9" ref="CE30:CE35">AT30</f>
        <v>0</v>
      </c>
      <c r="CF30" s="65">
        <f aca="true" t="shared" si="10" ref="CF30:CF35">AW30</f>
        <v>0</v>
      </c>
      <c r="CG30" s="65">
        <f aca="true" t="shared" si="11" ref="CG30:CG35">AZ30</f>
        <v>0</v>
      </c>
      <c r="CH30" s="65">
        <f aca="true" t="shared" si="12" ref="CH30:CH35">BC30</f>
        <v>0</v>
      </c>
      <c r="CI30" s="65">
        <f aca="true" t="shared" si="13" ref="CI30:CI35">BF30</f>
        <v>0</v>
      </c>
      <c r="CJ30" s="65">
        <f aca="true" t="shared" si="14" ref="CJ30:CJ35">BI30</f>
        <v>0</v>
      </c>
      <c r="CK30" s="65">
        <f aca="true" t="shared" si="15" ref="CK30:CK35">BL30</f>
        <v>0</v>
      </c>
      <c r="CL30" s="65">
        <f aca="true" t="shared" si="16" ref="CL30:CL35">BO30</f>
        <v>0</v>
      </c>
      <c r="CM30" s="65">
        <f aca="true" t="shared" si="17" ref="CM30:CM35">BR30</f>
        <v>0</v>
      </c>
      <c r="CN30" s="65">
        <f aca="true" t="shared" si="18" ref="CN30:CN35">BU30</f>
        <v>0</v>
      </c>
      <c r="CO30" s="63">
        <f aca="true" t="shared" si="19" ref="CO30:CO35">LARGE(BW30:CN30,1)</f>
        <v>593</v>
      </c>
      <c r="CP30" s="63">
        <f aca="true" t="shared" si="20" ref="CP30:CP35">LARGE(BW30:CN30,2)</f>
        <v>0</v>
      </c>
      <c r="CQ30" s="63">
        <f aca="true" t="shared" si="21" ref="CQ30:CQ35">LARGE(BW30:CN30,3)</f>
        <v>0</v>
      </c>
      <c r="CR30" s="63">
        <f aca="true" t="shared" si="22" ref="CR30:CR35">LARGE(BW30:CN30,4)</f>
        <v>0</v>
      </c>
      <c r="CS30" s="63">
        <f aca="true" t="shared" si="23" ref="CS30:CS35">LARGE(BW30:CN30,5)</f>
        <v>0</v>
      </c>
      <c r="CT30" s="2"/>
      <c r="CU30" s="86"/>
      <c r="CV30" s="57"/>
      <c r="CW30" s="2"/>
      <c r="CX30" s="86"/>
      <c r="CY30" s="57"/>
      <c r="CZ30" s="2"/>
      <c r="DA30" s="86"/>
      <c r="DB30" s="57"/>
      <c r="DC30" s="2"/>
      <c r="DD30" s="120"/>
      <c r="DE30" s="57"/>
      <c r="DF30" s="2"/>
      <c r="DG30" s="120"/>
      <c r="DH30" s="57"/>
    </row>
    <row r="31" spans="1:112" ht="15">
      <c r="A31" s="206" t="s">
        <v>328</v>
      </c>
      <c r="B31" s="206" t="s">
        <v>329</v>
      </c>
      <c r="C31" s="91" t="s">
        <v>47</v>
      </c>
      <c r="D31" s="90"/>
      <c r="E31" s="90" t="s">
        <v>36</v>
      </c>
      <c r="F31" s="90"/>
      <c r="G31" s="90"/>
      <c r="H31" s="52"/>
      <c r="I31" s="30"/>
      <c r="J31" s="99"/>
      <c r="K31" s="35"/>
      <c r="L31" s="30"/>
      <c r="M31" s="55"/>
      <c r="N31" s="49"/>
      <c r="O31" s="80"/>
      <c r="P31" s="55"/>
      <c r="Q31" s="49"/>
      <c r="R31" s="80"/>
      <c r="S31" s="55"/>
      <c r="T31" s="77"/>
      <c r="U31" s="80"/>
      <c r="V31" s="55"/>
      <c r="W31" s="52" t="s">
        <v>18</v>
      </c>
      <c r="X31" s="30">
        <v>4.1</v>
      </c>
      <c r="Y31" s="71">
        <v>586</v>
      </c>
      <c r="Z31" s="102"/>
      <c r="AA31" s="77"/>
      <c r="AB31" s="100"/>
      <c r="AC31" s="35"/>
      <c r="AD31" s="68"/>
      <c r="AE31" s="36"/>
      <c r="AF31" s="35"/>
      <c r="AG31" s="68"/>
      <c r="AH31" s="36"/>
      <c r="AI31" s="35"/>
      <c r="AJ31" s="30"/>
      <c r="AK31" s="38"/>
      <c r="AL31" s="35"/>
      <c r="AM31" s="68"/>
      <c r="AN31" s="38"/>
      <c r="AO31" s="35"/>
      <c r="AP31" s="68"/>
      <c r="AQ31" s="38"/>
      <c r="AR31" s="35"/>
      <c r="AS31" s="68"/>
      <c r="AT31" s="38"/>
      <c r="AU31" s="35"/>
      <c r="AV31" s="30"/>
      <c r="AW31" s="38"/>
      <c r="AX31" s="35"/>
      <c r="AY31" s="68"/>
      <c r="AZ31" s="28"/>
      <c r="BA31" s="35"/>
      <c r="BB31" s="68"/>
      <c r="BC31" s="28"/>
      <c r="BD31" s="35"/>
      <c r="BE31" s="68"/>
      <c r="BF31" s="28"/>
      <c r="BG31" s="35" t="s">
        <v>44</v>
      </c>
      <c r="BH31" s="68">
        <v>3.99</v>
      </c>
      <c r="BI31" s="28">
        <v>563</v>
      </c>
      <c r="BJ31" s="35"/>
      <c r="BK31" s="68"/>
      <c r="BL31" s="28"/>
      <c r="BM31" s="35"/>
      <c r="BN31" s="68"/>
      <c r="BO31" s="28"/>
      <c r="BP31" s="35"/>
      <c r="BQ31" s="68"/>
      <c r="BR31" s="28"/>
      <c r="BS31" s="35"/>
      <c r="BT31" s="68"/>
      <c r="BU31" s="28"/>
      <c r="BV31">
        <f t="shared" si="0"/>
        <v>2</v>
      </c>
      <c r="BW31" s="65">
        <f t="shared" si="1"/>
        <v>0</v>
      </c>
      <c r="BX31" s="65">
        <f t="shared" si="2"/>
        <v>0</v>
      </c>
      <c r="BY31" s="65">
        <f t="shared" si="3"/>
        <v>586</v>
      </c>
      <c r="BZ31" s="65">
        <f t="shared" si="4"/>
        <v>0</v>
      </c>
      <c r="CA31" s="65">
        <f t="shared" si="5"/>
        <v>0</v>
      </c>
      <c r="CB31" s="65">
        <f t="shared" si="6"/>
        <v>0</v>
      </c>
      <c r="CC31" s="65">
        <f t="shared" si="7"/>
        <v>0</v>
      </c>
      <c r="CD31" s="65">
        <f t="shared" si="8"/>
        <v>0</v>
      </c>
      <c r="CE31" s="65">
        <f t="shared" si="9"/>
        <v>0</v>
      </c>
      <c r="CF31" s="65">
        <f t="shared" si="10"/>
        <v>0</v>
      </c>
      <c r="CG31" s="65">
        <f t="shared" si="11"/>
        <v>0</v>
      </c>
      <c r="CH31" s="65">
        <f t="shared" si="12"/>
        <v>0</v>
      </c>
      <c r="CI31" s="65">
        <f t="shared" si="13"/>
        <v>0</v>
      </c>
      <c r="CJ31" s="65">
        <f t="shared" si="14"/>
        <v>563</v>
      </c>
      <c r="CK31" s="65">
        <f t="shared" si="15"/>
        <v>0</v>
      </c>
      <c r="CL31" s="65">
        <f t="shared" si="16"/>
        <v>0</v>
      </c>
      <c r="CM31" s="65">
        <f t="shared" si="17"/>
        <v>0</v>
      </c>
      <c r="CN31" s="65">
        <f t="shared" si="18"/>
        <v>0</v>
      </c>
      <c r="CO31" s="63">
        <f t="shared" si="19"/>
        <v>586</v>
      </c>
      <c r="CP31" s="63">
        <f t="shared" si="20"/>
        <v>563</v>
      </c>
      <c r="CQ31" s="63">
        <f t="shared" si="21"/>
        <v>0</v>
      </c>
      <c r="CR31" s="63">
        <f t="shared" si="22"/>
        <v>0</v>
      </c>
      <c r="CS31" s="63">
        <f t="shared" si="23"/>
        <v>0</v>
      </c>
      <c r="CT31" s="2"/>
      <c r="CU31" s="86"/>
      <c r="CV31" s="57"/>
      <c r="CW31" s="2"/>
      <c r="CX31" s="86"/>
      <c r="CY31" s="57"/>
      <c r="CZ31" s="2"/>
      <c r="DA31" s="86"/>
      <c r="DB31" s="57"/>
      <c r="DC31" s="2"/>
      <c r="DD31" s="120"/>
      <c r="DE31" s="57"/>
      <c r="DF31" s="2"/>
      <c r="DG31" s="120"/>
      <c r="DH31" s="57"/>
    </row>
    <row r="32" spans="1:112" ht="15">
      <c r="A32" s="204" t="s">
        <v>330</v>
      </c>
      <c r="B32" s="204" t="s">
        <v>331</v>
      </c>
      <c r="C32" s="336" t="s">
        <v>47</v>
      </c>
      <c r="D32" s="203"/>
      <c r="E32" s="90" t="s">
        <v>11</v>
      </c>
      <c r="F32" s="90"/>
      <c r="G32" s="90"/>
      <c r="H32" s="52"/>
      <c r="I32" s="30"/>
      <c r="J32" s="99"/>
      <c r="K32" s="35"/>
      <c r="L32" s="30"/>
      <c r="M32" s="55"/>
      <c r="N32" s="49"/>
      <c r="O32" s="80"/>
      <c r="P32" s="55"/>
      <c r="Q32" s="49"/>
      <c r="R32" s="80"/>
      <c r="S32" s="55"/>
      <c r="T32" s="77"/>
      <c r="U32" s="80"/>
      <c r="V32" s="55"/>
      <c r="W32" s="52" t="s">
        <v>18</v>
      </c>
      <c r="X32" s="30">
        <v>3.56</v>
      </c>
      <c r="Y32" s="71">
        <v>475</v>
      </c>
      <c r="Z32" s="102"/>
      <c r="AA32" s="77"/>
      <c r="AB32" s="100"/>
      <c r="AC32" s="35"/>
      <c r="AD32" s="68"/>
      <c r="AE32" s="36"/>
      <c r="AF32" s="35"/>
      <c r="AG32" s="68"/>
      <c r="AH32" s="36"/>
      <c r="AI32" s="35"/>
      <c r="AJ32" s="52"/>
      <c r="AK32" s="38"/>
      <c r="AL32" s="35"/>
      <c r="AM32" s="68"/>
      <c r="AN32" s="38"/>
      <c r="AO32" s="35"/>
      <c r="AP32" s="68"/>
      <c r="AQ32" s="38"/>
      <c r="AR32" s="35"/>
      <c r="AS32" s="68"/>
      <c r="AT32" s="38"/>
      <c r="AU32" s="35"/>
      <c r="AV32" s="30"/>
      <c r="AW32" s="38"/>
      <c r="AX32" s="35"/>
      <c r="AY32" s="68"/>
      <c r="AZ32" s="28"/>
      <c r="BA32" s="35"/>
      <c r="BB32" s="68"/>
      <c r="BC32" s="28"/>
      <c r="BD32" s="35"/>
      <c r="BE32" s="68"/>
      <c r="BF32" s="28"/>
      <c r="BG32" s="35"/>
      <c r="BH32" s="68"/>
      <c r="BI32" s="28"/>
      <c r="BJ32" s="35"/>
      <c r="BK32" s="68"/>
      <c r="BL32" s="28"/>
      <c r="BM32" s="35"/>
      <c r="BN32" s="68"/>
      <c r="BO32" s="28"/>
      <c r="BP32" s="35"/>
      <c r="BQ32" s="68"/>
      <c r="BR32" s="28"/>
      <c r="BS32" s="35"/>
      <c r="BT32" s="68"/>
      <c r="BU32" s="28"/>
      <c r="BV32">
        <f t="shared" si="0"/>
        <v>1</v>
      </c>
      <c r="BW32" s="65">
        <f t="shared" si="1"/>
        <v>0</v>
      </c>
      <c r="BX32" s="65">
        <f t="shared" si="2"/>
        <v>0</v>
      </c>
      <c r="BY32" s="65">
        <f t="shared" si="3"/>
        <v>475</v>
      </c>
      <c r="BZ32" s="65">
        <f t="shared" si="4"/>
        <v>0</v>
      </c>
      <c r="CA32" s="65">
        <f t="shared" si="5"/>
        <v>0</v>
      </c>
      <c r="CB32" s="65">
        <f t="shared" si="6"/>
        <v>0</v>
      </c>
      <c r="CC32" s="65">
        <f t="shared" si="7"/>
        <v>0</v>
      </c>
      <c r="CD32" s="65">
        <f t="shared" si="8"/>
        <v>0</v>
      </c>
      <c r="CE32" s="65">
        <f t="shared" si="9"/>
        <v>0</v>
      </c>
      <c r="CF32" s="65">
        <f t="shared" si="10"/>
        <v>0</v>
      </c>
      <c r="CG32" s="65">
        <f t="shared" si="11"/>
        <v>0</v>
      </c>
      <c r="CH32" s="65">
        <f t="shared" si="12"/>
        <v>0</v>
      </c>
      <c r="CI32" s="65">
        <f t="shared" si="13"/>
        <v>0</v>
      </c>
      <c r="CJ32" s="65">
        <f t="shared" si="14"/>
        <v>0</v>
      </c>
      <c r="CK32" s="65">
        <f t="shared" si="15"/>
        <v>0</v>
      </c>
      <c r="CL32" s="65">
        <f t="shared" si="16"/>
        <v>0</v>
      </c>
      <c r="CM32" s="65">
        <f t="shared" si="17"/>
        <v>0</v>
      </c>
      <c r="CN32" s="65">
        <f t="shared" si="18"/>
        <v>0</v>
      </c>
      <c r="CO32" s="63">
        <f t="shared" si="19"/>
        <v>475</v>
      </c>
      <c r="CP32" s="63">
        <f t="shared" si="20"/>
        <v>0</v>
      </c>
      <c r="CQ32" s="63">
        <f t="shared" si="21"/>
        <v>0</v>
      </c>
      <c r="CR32" s="63">
        <f t="shared" si="22"/>
        <v>0</v>
      </c>
      <c r="CS32" s="63">
        <f t="shared" si="23"/>
        <v>0</v>
      </c>
      <c r="CT32" s="2"/>
      <c r="CU32" s="86"/>
      <c r="CV32" s="57"/>
      <c r="CW32" s="2"/>
      <c r="CX32" s="86"/>
      <c r="CY32" s="57"/>
      <c r="CZ32" s="2"/>
      <c r="DA32" s="86"/>
      <c r="DB32" s="57"/>
      <c r="DC32" s="2"/>
      <c r="DD32" s="120"/>
      <c r="DE32" s="57"/>
      <c r="DF32" s="2"/>
      <c r="DG32" s="120"/>
      <c r="DH32" s="57"/>
    </row>
    <row r="33" spans="1:112" ht="15">
      <c r="A33" s="204" t="s">
        <v>341</v>
      </c>
      <c r="B33" s="204" t="s">
        <v>342</v>
      </c>
      <c r="C33" s="336" t="s">
        <v>104</v>
      </c>
      <c r="D33" s="203"/>
      <c r="E33" s="90" t="s">
        <v>39</v>
      </c>
      <c r="F33" s="90"/>
      <c r="G33" s="90"/>
      <c r="H33" s="52"/>
      <c r="I33" s="30"/>
      <c r="J33" s="99"/>
      <c r="K33" s="35"/>
      <c r="L33" s="30"/>
      <c r="M33" s="55"/>
      <c r="N33" s="49"/>
      <c r="O33" s="80"/>
      <c r="P33" s="55"/>
      <c r="Q33" s="49"/>
      <c r="R33" s="80"/>
      <c r="S33" s="55"/>
      <c r="T33" s="77"/>
      <c r="U33" s="80"/>
      <c r="V33" s="55"/>
      <c r="W33" s="52"/>
      <c r="X33" s="30"/>
      <c r="Y33" s="71"/>
      <c r="Z33" s="102"/>
      <c r="AA33" s="77"/>
      <c r="AB33" s="100"/>
      <c r="AC33" s="35"/>
      <c r="AD33" s="68"/>
      <c r="AE33" s="36"/>
      <c r="AF33" s="35"/>
      <c r="AG33" s="68"/>
      <c r="AH33" s="36"/>
      <c r="AI33" s="35"/>
      <c r="AJ33" s="52"/>
      <c r="AK33" s="38"/>
      <c r="AL33" s="35"/>
      <c r="AM33" s="68"/>
      <c r="AN33" s="38"/>
      <c r="AO33" s="35"/>
      <c r="AP33" s="68"/>
      <c r="AQ33" s="38"/>
      <c r="AR33" s="35"/>
      <c r="AS33" s="68"/>
      <c r="AT33" s="38"/>
      <c r="AU33" s="35"/>
      <c r="AV33" s="30"/>
      <c r="AW33" s="38"/>
      <c r="AX33" s="35"/>
      <c r="AY33" s="68"/>
      <c r="AZ33" s="28"/>
      <c r="BA33" s="35" t="s">
        <v>326</v>
      </c>
      <c r="BB33" s="68">
        <v>12.45</v>
      </c>
      <c r="BC33" s="28">
        <v>689</v>
      </c>
      <c r="BD33" s="35"/>
      <c r="BE33" s="68"/>
      <c r="BF33" s="28"/>
      <c r="BG33" s="35"/>
      <c r="BH33" s="68"/>
      <c r="BI33" s="28"/>
      <c r="BJ33" s="35"/>
      <c r="BK33" s="68"/>
      <c r="BL33" s="28"/>
      <c r="BM33" s="35"/>
      <c r="BN33" s="68"/>
      <c r="BO33" s="28"/>
      <c r="BP33" s="35"/>
      <c r="BQ33" s="68"/>
      <c r="BR33" s="28"/>
      <c r="BS33" s="35"/>
      <c r="BT33" s="68"/>
      <c r="BU33" s="28"/>
      <c r="BV33">
        <f t="shared" si="0"/>
        <v>1</v>
      </c>
      <c r="BW33" s="65">
        <f t="shared" si="1"/>
        <v>0</v>
      </c>
      <c r="BX33" s="65">
        <f t="shared" si="2"/>
        <v>0</v>
      </c>
      <c r="BY33" s="65">
        <f t="shared" si="3"/>
        <v>0</v>
      </c>
      <c r="BZ33" s="65">
        <f t="shared" si="4"/>
        <v>0</v>
      </c>
      <c r="CA33" s="65">
        <f t="shared" si="5"/>
        <v>0</v>
      </c>
      <c r="CB33" s="65">
        <f t="shared" si="6"/>
        <v>0</v>
      </c>
      <c r="CC33" s="65">
        <f t="shared" si="7"/>
        <v>0</v>
      </c>
      <c r="CD33" s="65">
        <f t="shared" si="8"/>
        <v>0</v>
      </c>
      <c r="CE33" s="65">
        <f t="shared" si="9"/>
        <v>0</v>
      </c>
      <c r="CF33" s="65">
        <f t="shared" si="10"/>
        <v>0</v>
      </c>
      <c r="CG33" s="65">
        <f t="shared" si="11"/>
        <v>0</v>
      </c>
      <c r="CH33" s="65">
        <f t="shared" si="12"/>
        <v>689</v>
      </c>
      <c r="CI33" s="65">
        <f t="shared" si="13"/>
        <v>0</v>
      </c>
      <c r="CJ33" s="65">
        <f t="shared" si="14"/>
        <v>0</v>
      </c>
      <c r="CK33" s="65">
        <f t="shared" si="15"/>
        <v>0</v>
      </c>
      <c r="CL33" s="65">
        <f t="shared" si="16"/>
        <v>0</v>
      </c>
      <c r="CM33" s="65">
        <f t="shared" si="17"/>
        <v>0</v>
      </c>
      <c r="CN33" s="65">
        <f t="shared" si="18"/>
        <v>0</v>
      </c>
      <c r="CO33" s="63">
        <f t="shared" si="19"/>
        <v>689</v>
      </c>
      <c r="CP33" s="63">
        <f t="shared" si="20"/>
        <v>0</v>
      </c>
      <c r="CQ33" s="63">
        <f t="shared" si="21"/>
        <v>0</v>
      </c>
      <c r="CR33" s="63">
        <f t="shared" si="22"/>
        <v>0</v>
      </c>
      <c r="CS33" s="63">
        <f t="shared" si="23"/>
        <v>0</v>
      </c>
      <c r="CT33" s="2"/>
      <c r="CU33" s="86"/>
      <c r="CV33" s="57"/>
      <c r="CW33" s="2"/>
      <c r="CX33" s="86"/>
      <c r="CY33" s="57"/>
      <c r="CZ33" s="2"/>
      <c r="DA33" s="86"/>
      <c r="DB33" s="57"/>
      <c r="DC33" s="2"/>
      <c r="DD33" s="120"/>
      <c r="DE33" s="57"/>
      <c r="DF33" s="2"/>
      <c r="DG33" s="120"/>
      <c r="DH33" s="57"/>
    </row>
    <row r="34" spans="1:112" ht="15">
      <c r="A34" s="199" t="s">
        <v>343</v>
      </c>
      <c r="B34" s="199" t="s">
        <v>88</v>
      </c>
      <c r="C34" s="335" t="s">
        <v>104</v>
      </c>
      <c r="D34" s="201"/>
      <c r="E34" s="92" t="s">
        <v>39</v>
      </c>
      <c r="F34" s="90"/>
      <c r="G34" s="92"/>
      <c r="H34" s="52"/>
      <c r="I34" s="30"/>
      <c r="J34" s="99"/>
      <c r="K34" s="35"/>
      <c r="L34" s="30"/>
      <c r="M34" s="55"/>
      <c r="N34" s="49"/>
      <c r="O34" s="80"/>
      <c r="P34" s="55"/>
      <c r="Q34" s="49"/>
      <c r="R34" s="80"/>
      <c r="S34" s="55"/>
      <c r="T34" s="77"/>
      <c r="U34" s="80"/>
      <c r="V34" s="55"/>
      <c r="W34" s="52"/>
      <c r="X34" s="30"/>
      <c r="Y34" s="71"/>
      <c r="Z34" s="102"/>
      <c r="AA34" s="77"/>
      <c r="AB34" s="100"/>
      <c r="AC34" s="35"/>
      <c r="AD34" s="68"/>
      <c r="AE34" s="36"/>
      <c r="AF34" s="35"/>
      <c r="AG34" s="68"/>
      <c r="AH34" s="36"/>
      <c r="AI34" s="35"/>
      <c r="AJ34" s="52"/>
      <c r="AK34" s="38"/>
      <c r="AL34" s="35"/>
      <c r="AM34" s="68"/>
      <c r="AN34" s="38"/>
      <c r="AO34" s="35"/>
      <c r="AP34" s="68"/>
      <c r="AQ34" s="38"/>
      <c r="AR34" s="35"/>
      <c r="AS34" s="68"/>
      <c r="AT34" s="38"/>
      <c r="AU34" s="35"/>
      <c r="AV34" s="30"/>
      <c r="AW34" s="38"/>
      <c r="AX34" s="35"/>
      <c r="AY34" s="68"/>
      <c r="AZ34" s="28"/>
      <c r="BA34" s="35" t="s">
        <v>62</v>
      </c>
      <c r="BB34" s="68">
        <v>11.53</v>
      </c>
      <c r="BC34" s="28">
        <v>595</v>
      </c>
      <c r="BD34" s="35"/>
      <c r="BE34" s="68"/>
      <c r="BF34" s="28"/>
      <c r="BG34" s="35"/>
      <c r="BH34" s="68"/>
      <c r="BI34" s="28"/>
      <c r="BJ34" s="35"/>
      <c r="BK34" s="68"/>
      <c r="BL34" s="28"/>
      <c r="BM34" s="35"/>
      <c r="BN34" s="68"/>
      <c r="BO34" s="28"/>
      <c r="BP34" s="35"/>
      <c r="BQ34" s="68"/>
      <c r="BR34" s="28"/>
      <c r="BS34" s="35"/>
      <c r="BT34" s="68"/>
      <c r="BU34" s="28"/>
      <c r="BV34">
        <f t="shared" si="0"/>
        <v>1</v>
      </c>
      <c r="BW34" s="65">
        <f t="shared" si="1"/>
        <v>0</v>
      </c>
      <c r="BX34" s="65">
        <f t="shared" si="2"/>
        <v>0</v>
      </c>
      <c r="BY34" s="65">
        <f t="shared" si="3"/>
        <v>0</v>
      </c>
      <c r="BZ34" s="65">
        <f t="shared" si="4"/>
        <v>0</v>
      </c>
      <c r="CA34" s="65">
        <f t="shared" si="5"/>
        <v>0</v>
      </c>
      <c r="CB34" s="65">
        <f t="shared" si="6"/>
        <v>0</v>
      </c>
      <c r="CC34" s="65">
        <f t="shared" si="7"/>
        <v>0</v>
      </c>
      <c r="CD34" s="65">
        <f t="shared" si="8"/>
        <v>0</v>
      </c>
      <c r="CE34" s="65">
        <f t="shared" si="9"/>
        <v>0</v>
      </c>
      <c r="CF34" s="65">
        <f t="shared" si="10"/>
        <v>0</v>
      </c>
      <c r="CG34" s="65">
        <f t="shared" si="11"/>
        <v>0</v>
      </c>
      <c r="CH34" s="65">
        <f t="shared" si="12"/>
        <v>595</v>
      </c>
      <c r="CI34" s="65">
        <f t="shared" si="13"/>
        <v>0</v>
      </c>
      <c r="CJ34" s="65">
        <f t="shared" si="14"/>
        <v>0</v>
      </c>
      <c r="CK34" s="65">
        <f t="shared" si="15"/>
        <v>0</v>
      </c>
      <c r="CL34" s="65">
        <f t="shared" si="16"/>
        <v>0</v>
      </c>
      <c r="CM34" s="65">
        <f t="shared" si="17"/>
        <v>0</v>
      </c>
      <c r="CN34" s="65">
        <f t="shared" si="18"/>
        <v>0</v>
      </c>
      <c r="CO34" s="63">
        <f t="shared" si="19"/>
        <v>595</v>
      </c>
      <c r="CP34" s="63">
        <f t="shared" si="20"/>
        <v>0</v>
      </c>
      <c r="CQ34" s="63">
        <f t="shared" si="21"/>
        <v>0</v>
      </c>
      <c r="CR34" s="63">
        <f t="shared" si="22"/>
        <v>0</v>
      </c>
      <c r="CS34" s="63">
        <f t="shared" si="23"/>
        <v>0</v>
      </c>
      <c r="CT34" s="2"/>
      <c r="CU34" s="86"/>
      <c r="CV34" s="57"/>
      <c r="CW34" s="2"/>
      <c r="CX34" s="86"/>
      <c r="CY34" s="57"/>
      <c r="CZ34" s="2"/>
      <c r="DA34" s="86"/>
      <c r="DB34" s="57"/>
      <c r="DC34" s="2"/>
      <c r="DD34" s="120"/>
      <c r="DE34" s="57"/>
      <c r="DF34" s="2"/>
      <c r="DG34" s="120"/>
      <c r="DH34" s="57"/>
    </row>
    <row r="35" spans="1:112" ht="15">
      <c r="A35" s="210" t="s">
        <v>231</v>
      </c>
      <c r="B35" s="210" t="s">
        <v>232</v>
      </c>
      <c r="C35" s="337" t="s">
        <v>391</v>
      </c>
      <c r="D35" s="212">
        <v>60</v>
      </c>
      <c r="E35" s="92" t="s">
        <v>348</v>
      </c>
      <c r="F35" s="90"/>
      <c r="G35" s="92"/>
      <c r="H35" s="52"/>
      <c r="I35" s="30"/>
      <c r="J35" s="99"/>
      <c r="K35" s="35"/>
      <c r="L35" s="30"/>
      <c r="M35" s="55"/>
      <c r="N35" s="49"/>
      <c r="O35" s="80"/>
      <c r="P35" s="55"/>
      <c r="Q35" s="49"/>
      <c r="R35" s="80"/>
      <c r="S35" s="55"/>
      <c r="T35" s="77"/>
      <c r="U35" s="80"/>
      <c r="V35" s="55"/>
      <c r="W35" s="52"/>
      <c r="X35" s="30"/>
      <c r="Y35" s="71"/>
      <c r="Z35" s="102"/>
      <c r="AA35" s="77"/>
      <c r="AB35" s="100"/>
      <c r="AC35" s="35"/>
      <c r="AD35" s="68"/>
      <c r="AE35" s="36"/>
      <c r="AF35" s="35"/>
      <c r="AG35" s="68"/>
      <c r="AH35" s="36"/>
      <c r="AI35" s="35"/>
      <c r="AJ35" s="52"/>
      <c r="AK35" s="38"/>
      <c r="AL35" s="35"/>
      <c r="AM35" s="68"/>
      <c r="AN35" s="38"/>
      <c r="AO35" s="35"/>
      <c r="AP35" s="68"/>
      <c r="AQ35" s="38"/>
      <c r="AR35" s="35"/>
      <c r="AS35" s="68"/>
      <c r="AT35" s="38"/>
      <c r="AU35" s="35"/>
      <c r="AV35" s="30"/>
      <c r="AW35" s="38"/>
      <c r="AX35" s="35"/>
      <c r="AY35" s="68"/>
      <c r="AZ35" s="28"/>
      <c r="BA35" s="35"/>
      <c r="BB35" s="68"/>
      <c r="BC35" s="28"/>
      <c r="BD35" s="35"/>
      <c r="BE35" s="68"/>
      <c r="BF35" s="28"/>
      <c r="BG35" s="35" t="s">
        <v>18</v>
      </c>
      <c r="BH35" s="68">
        <v>4</v>
      </c>
      <c r="BI35" s="28">
        <v>298</v>
      </c>
      <c r="BJ35" s="35"/>
      <c r="BK35" s="30"/>
      <c r="BL35" s="28"/>
      <c r="BM35" s="35"/>
      <c r="BN35" s="68"/>
      <c r="BO35" s="28"/>
      <c r="BP35" s="35"/>
      <c r="BQ35" s="68"/>
      <c r="BR35" s="28"/>
      <c r="BS35" s="35"/>
      <c r="BT35" s="68"/>
      <c r="BU35" s="28"/>
      <c r="BV35">
        <f t="shared" si="0"/>
        <v>1</v>
      </c>
      <c r="BW35" s="65">
        <f t="shared" si="1"/>
        <v>0</v>
      </c>
      <c r="BX35" s="65">
        <f t="shared" si="2"/>
        <v>0</v>
      </c>
      <c r="BY35" s="65">
        <f t="shared" si="3"/>
        <v>0</v>
      </c>
      <c r="BZ35" s="65">
        <f t="shared" si="4"/>
        <v>0</v>
      </c>
      <c r="CA35" s="65">
        <f t="shared" si="5"/>
        <v>0</v>
      </c>
      <c r="CB35" s="65">
        <f t="shared" si="6"/>
        <v>0</v>
      </c>
      <c r="CC35" s="65">
        <f t="shared" si="7"/>
        <v>0</v>
      </c>
      <c r="CD35" s="65">
        <f t="shared" si="8"/>
        <v>0</v>
      </c>
      <c r="CE35" s="65">
        <f t="shared" si="9"/>
        <v>0</v>
      </c>
      <c r="CF35" s="65">
        <f t="shared" si="10"/>
        <v>0</v>
      </c>
      <c r="CG35" s="65">
        <f t="shared" si="11"/>
        <v>0</v>
      </c>
      <c r="CH35" s="65">
        <f t="shared" si="12"/>
        <v>0</v>
      </c>
      <c r="CI35" s="65">
        <f t="shared" si="13"/>
        <v>0</v>
      </c>
      <c r="CJ35" s="65">
        <f t="shared" si="14"/>
        <v>298</v>
      </c>
      <c r="CK35" s="65">
        <f t="shared" si="15"/>
        <v>0</v>
      </c>
      <c r="CL35" s="65">
        <f t="shared" si="16"/>
        <v>0</v>
      </c>
      <c r="CM35" s="65">
        <f t="shared" si="17"/>
        <v>0</v>
      </c>
      <c r="CN35" s="65">
        <f t="shared" si="18"/>
        <v>0</v>
      </c>
      <c r="CO35" s="63">
        <f t="shared" si="19"/>
        <v>298</v>
      </c>
      <c r="CP35" s="63">
        <f t="shared" si="20"/>
        <v>0</v>
      </c>
      <c r="CQ35" s="63">
        <f t="shared" si="21"/>
        <v>0</v>
      </c>
      <c r="CR35" s="63">
        <f t="shared" si="22"/>
        <v>0</v>
      </c>
      <c r="CS35" s="63">
        <f t="shared" si="23"/>
        <v>0</v>
      </c>
      <c r="CT35" s="2"/>
      <c r="CU35" s="86"/>
      <c r="CV35" s="57"/>
      <c r="CW35" s="2"/>
      <c r="CX35" s="86"/>
      <c r="CY35" s="57"/>
      <c r="CZ35" s="2"/>
      <c r="DA35" s="86"/>
      <c r="DB35" s="57"/>
      <c r="DC35" s="2"/>
      <c r="DD35" s="120"/>
      <c r="DE35" s="57"/>
      <c r="DF35" s="2"/>
      <c r="DG35" s="120"/>
      <c r="DH35" s="57"/>
    </row>
    <row r="36" spans="8:72" ht="15">
      <c r="H36" s="41"/>
      <c r="I36" s="41"/>
      <c r="J36" s="41"/>
      <c r="K36" s="41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1"/>
      <c r="X36" s="41"/>
      <c r="Y36" s="42"/>
      <c r="Z36" s="101"/>
      <c r="AA36" s="101"/>
      <c r="AB36" s="42"/>
      <c r="AC36" s="41"/>
      <c r="AD36" s="41"/>
      <c r="AE36" s="42"/>
      <c r="AF36" s="41"/>
      <c r="AG36" s="41"/>
      <c r="AH36" s="42"/>
      <c r="AI36" s="41"/>
      <c r="AJ36" s="41"/>
      <c r="AK36" s="43"/>
      <c r="AL36" s="41"/>
      <c r="AM36" s="41"/>
      <c r="AN36" s="43"/>
      <c r="AO36" s="41"/>
      <c r="AP36" s="41"/>
      <c r="AQ36" s="43"/>
      <c r="AR36" s="41"/>
      <c r="AS36" s="41"/>
      <c r="AT36" s="43"/>
      <c r="AU36" s="41"/>
      <c r="AV36" s="41"/>
      <c r="AW36" s="43"/>
      <c r="AX36" s="41"/>
      <c r="AY36" s="41"/>
      <c r="BA36" s="41"/>
      <c r="BB36" s="41"/>
      <c r="BD36" s="41"/>
      <c r="BE36" s="41"/>
      <c r="BG36" s="41"/>
      <c r="BH36" s="41"/>
      <c r="BJ36" s="41"/>
      <c r="BK36" s="41"/>
      <c r="BM36" s="41"/>
      <c r="BN36" s="41"/>
      <c r="BP36" s="41"/>
      <c r="BQ36" s="41"/>
      <c r="BS36" s="41"/>
      <c r="BT36" s="41"/>
    </row>
  </sheetData>
  <sheetProtection/>
  <mergeCells count="27">
    <mergeCell ref="CT1:CV1"/>
    <mergeCell ref="CW1:CY1"/>
    <mergeCell ref="CZ1:DB1"/>
    <mergeCell ref="DC1:DE1"/>
    <mergeCell ref="DF1:DH1"/>
    <mergeCell ref="AU1:AW1"/>
    <mergeCell ref="AX1:AZ1"/>
    <mergeCell ref="BA1:BC1"/>
    <mergeCell ref="AO1:AQ1"/>
    <mergeCell ref="AR1:AT1"/>
    <mergeCell ref="AL1:AN1"/>
    <mergeCell ref="K1:M1"/>
    <mergeCell ref="H1:J1"/>
    <mergeCell ref="W1:Y1"/>
    <mergeCell ref="AC1:AE1"/>
    <mergeCell ref="AF1:AH1"/>
    <mergeCell ref="AI1:AK1"/>
    <mergeCell ref="N1:P1"/>
    <mergeCell ref="Q1:S1"/>
    <mergeCell ref="T1:V1"/>
    <mergeCell ref="Z1:AB1"/>
    <mergeCell ref="BD1:BF1"/>
    <mergeCell ref="BG1:BI1"/>
    <mergeCell ref="BJ1:BL1"/>
    <mergeCell ref="BM1:BO1"/>
    <mergeCell ref="BP1:BR1"/>
    <mergeCell ref="BS1:BU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38"/>
  <sheetViews>
    <sheetView zoomScale="85" zoomScaleNormal="85" zoomScalePageLayoutView="0" workbookViewId="0" topLeftCell="A1">
      <pane ySplit="480" topLeftCell="A1" activePane="bottomLeft" state="split"/>
      <selection pane="topLeft" activeCell="S2" sqref="S1:S16384"/>
      <selection pane="bottomLeft" activeCell="V17" sqref="V17"/>
    </sheetView>
  </sheetViews>
  <sheetFormatPr defaultColWidth="11.421875" defaultRowHeight="15"/>
  <cols>
    <col min="1" max="1" width="11.421875" style="1" customWidth="1"/>
    <col min="2" max="2" width="13.421875" style="1" customWidth="1"/>
    <col min="3" max="3" width="4.421875" style="1" customWidth="1"/>
    <col min="4" max="4" width="4.00390625" style="1" customWidth="1"/>
    <col min="5" max="5" width="16.8515625" style="0" customWidth="1"/>
    <col min="6" max="6" width="6.421875" style="0" bestFit="1" customWidth="1"/>
    <col min="7" max="7" width="9.57421875" style="0" customWidth="1"/>
    <col min="8" max="8" width="11.00390625" style="0" bestFit="1" customWidth="1"/>
    <col min="9" max="9" width="4.140625" style="0" customWidth="1"/>
    <col min="10" max="10" width="5.8515625" style="0" customWidth="1"/>
    <col min="11" max="12" width="5.00390625" style="0" customWidth="1"/>
    <col min="13" max="13" width="6.00390625" style="0" customWidth="1"/>
    <col min="14" max="15" width="5.00390625" style="0" customWidth="1"/>
    <col min="16" max="16" width="5.57421875" style="0" customWidth="1"/>
    <col min="17" max="17" width="5.00390625" style="0" customWidth="1"/>
    <col min="18" max="18" width="4.7109375" style="19" bestFit="1" customWidth="1"/>
    <col min="19" max="19" width="6.7109375" style="18" bestFit="1" customWidth="1"/>
    <col min="20" max="20" width="4.140625" style="21" bestFit="1" customWidth="1"/>
    <col min="21" max="21" width="4.00390625" style="19" bestFit="1" customWidth="1"/>
    <col min="22" max="22" width="6.7109375" style="19" bestFit="1" customWidth="1"/>
    <col min="23" max="23" width="4.140625" style="21" bestFit="1" customWidth="1"/>
    <col min="24" max="24" width="4.00390625" style="19" bestFit="1" customWidth="1"/>
    <col min="25" max="25" width="5.7109375" style="19" bestFit="1" customWidth="1"/>
    <col min="26" max="26" width="4.140625" style="21" bestFit="1" customWidth="1"/>
    <col min="27" max="27" width="5.00390625" style="19" customWidth="1"/>
    <col min="28" max="28" width="6.421875" style="19" bestFit="1" customWidth="1"/>
    <col min="29" max="29" width="4.140625" style="21" bestFit="1" customWidth="1"/>
    <col min="30" max="30" width="4.00390625" style="19" bestFit="1" customWidth="1"/>
    <col min="31" max="31" width="6.421875" style="19" bestFit="1" customWidth="1"/>
    <col min="32" max="32" width="4.140625" style="21" bestFit="1" customWidth="1"/>
    <col min="33" max="33" width="5.00390625" style="19" customWidth="1"/>
    <col min="34" max="34" width="6.421875" style="19" bestFit="1" customWidth="1"/>
    <col min="35" max="35" width="4.140625" style="21" bestFit="1" customWidth="1"/>
    <col min="36" max="36" width="4.00390625" style="19" bestFit="1" customWidth="1"/>
    <col min="37" max="37" width="6.421875" style="19" bestFit="1" customWidth="1"/>
    <col min="38" max="38" width="4.140625" style="21" bestFit="1" customWidth="1"/>
    <col min="39" max="39" width="4.00390625" style="19" bestFit="1" customWidth="1"/>
    <col min="40" max="40" width="6.421875" style="19" bestFit="1" customWidth="1"/>
    <col min="41" max="41" width="4.140625" style="21" bestFit="1" customWidth="1"/>
    <col min="42" max="42" width="4.00390625" style="0" bestFit="1" customWidth="1"/>
    <col min="43" max="43" width="6.421875" style="0" bestFit="1" customWidth="1"/>
    <col min="44" max="44" width="5.140625" style="0" bestFit="1" customWidth="1"/>
    <col min="45" max="45" width="4.00390625" style="0" bestFit="1" customWidth="1"/>
    <col min="46" max="46" width="6.421875" style="0" bestFit="1" customWidth="1"/>
    <col min="47" max="47" width="4.140625" style="0" bestFit="1" customWidth="1"/>
    <col min="48" max="48" width="4.00390625" style="0" bestFit="1" customWidth="1"/>
    <col min="49" max="49" width="6.421875" style="0" bestFit="1" customWidth="1"/>
    <col min="50" max="50" width="4.140625" style="0" bestFit="1" customWidth="1"/>
    <col min="51" max="51" width="4.00390625" style="0" bestFit="1" customWidth="1"/>
    <col min="52" max="52" width="6.421875" style="0" bestFit="1" customWidth="1"/>
    <col min="53" max="53" width="4.140625" style="0" bestFit="1" customWidth="1"/>
    <col min="54" max="54" width="4.00390625" style="0" bestFit="1" customWidth="1"/>
    <col min="55" max="55" width="6.421875" style="0" bestFit="1" customWidth="1"/>
    <col min="56" max="56" width="4.140625" style="0" bestFit="1" customWidth="1"/>
    <col min="57" max="57" width="4.00390625" style="0" bestFit="1" customWidth="1"/>
    <col min="58" max="58" width="6.421875" style="0" bestFit="1" customWidth="1"/>
    <col min="59" max="59" width="4.140625" style="0" bestFit="1" customWidth="1"/>
    <col min="60" max="60" width="4.00390625" style="0" bestFit="1" customWidth="1"/>
    <col min="61" max="61" width="6.421875" style="0" bestFit="1" customWidth="1"/>
    <col min="62" max="62" width="4.140625" style="0" bestFit="1" customWidth="1"/>
    <col min="63" max="63" width="4.00390625" style="0" bestFit="1" customWidth="1"/>
    <col min="64" max="64" width="6.421875" style="0" bestFit="1" customWidth="1"/>
    <col min="65" max="65" width="4.140625" style="0" bestFit="1" customWidth="1"/>
    <col min="66" max="91" width="4.140625" style="0" hidden="1" customWidth="1"/>
  </cols>
  <sheetData>
    <row r="1" spans="9:68" ht="15">
      <c r="I1" s="392">
        <v>43058</v>
      </c>
      <c r="J1" s="393"/>
      <c r="K1" s="394"/>
      <c r="L1" s="395">
        <v>42700</v>
      </c>
      <c r="M1" s="393"/>
      <c r="N1" s="394"/>
      <c r="O1" s="395">
        <v>42700</v>
      </c>
      <c r="P1" s="393"/>
      <c r="Q1" s="394"/>
      <c r="R1" s="375">
        <v>42756</v>
      </c>
      <c r="S1" s="376"/>
      <c r="T1" s="377"/>
      <c r="U1" s="378">
        <v>42756</v>
      </c>
      <c r="V1" s="379"/>
      <c r="W1" s="380"/>
      <c r="X1" s="378">
        <v>42770</v>
      </c>
      <c r="Y1" s="379"/>
      <c r="Z1" s="380"/>
      <c r="AA1" s="378">
        <v>42770</v>
      </c>
      <c r="AB1" s="379"/>
      <c r="AC1" s="380"/>
      <c r="AD1" s="375">
        <v>42791</v>
      </c>
      <c r="AE1" s="376"/>
      <c r="AF1" s="377"/>
      <c r="AG1" s="375">
        <v>42791</v>
      </c>
      <c r="AH1" s="376"/>
      <c r="AI1" s="377"/>
      <c r="AJ1" s="375">
        <v>42791</v>
      </c>
      <c r="AK1" s="376"/>
      <c r="AL1" s="377"/>
      <c r="AM1" s="375">
        <v>42791</v>
      </c>
      <c r="AN1" s="376"/>
      <c r="AO1" s="377"/>
      <c r="AP1" s="375">
        <v>42811</v>
      </c>
      <c r="AQ1" s="376"/>
      <c r="AR1" s="377"/>
      <c r="AS1" s="375">
        <v>42811</v>
      </c>
      <c r="AT1" s="376"/>
      <c r="AU1" s="377"/>
      <c r="AV1" s="375" t="s">
        <v>384</v>
      </c>
      <c r="AW1" s="376"/>
      <c r="AX1" s="377"/>
      <c r="AY1" s="375" t="s">
        <v>384</v>
      </c>
      <c r="AZ1" s="376"/>
      <c r="BA1" s="377"/>
      <c r="BB1" s="375" t="s">
        <v>384</v>
      </c>
      <c r="BC1" s="376"/>
      <c r="BD1" s="377"/>
      <c r="BE1" s="375">
        <v>42875</v>
      </c>
      <c r="BF1" s="376"/>
      <c r="BG1" s="377"/>
      <c r="BH1" s="389">
        <v>42915</v>
      </c>
      <c r="BI1" s="390"/>
      <c r="BJ1" s="391"/>
      <c r="BK1" s="389">
        <v>42916</v>
      </c>
      <c r="BL1" s="390"/>
      <c r="BM1" s="391"/>
      <c r="BN1" s="389"/>
      <c r="BO1" s="390"/>
      <c r="BP1" s="391"/>
    </row>
    <row r="2" spans="6:91" ht="30">
      <c r="F2" s="60" t="s">
        <v>23</v>
      </c>
      <c r="G2" s="61" t="s">
        <v>24</v>
      </c>
      <c r="H2" s="59" t="s">
        <v>25</v>
      </c>
      <c r="I2" s="81" t="s">
        <v>7</v>
      </c>
      <c r="J2" s="81" t="s">
        <v>8</v>
      </c>
      <c r="K2" s="81" t="s">
        <v>9</v>
      </c>
      <c r="L2" s="81" t="s">
        <v>7</v>
      </c>
      <c r="M2" s="81" t="s">
        <v>8</v>
      </c>
      <c r="N2" s="81" t="s">
        <v>9</v>
      </c>
      <c r="O2" s="81" t="s">
        <v>7</v>
      </c>
      <c r="P2" s="81" t="s">
        <v>8</v>
      </c>
      <c r="Q2" s="81" t="s">
        <v>9</v>
      </c>
      <c r="R2" s="74" t="s">
        <v>7</v>
      </c>
      <c r="S2" s="74" t="s">
        <v>8</v>
      </c>
      <c r="T2" s="75" t="s">
        <v>9</v>
      </c>
      <c r="U2" s="62" t="s">
        <v>7</v>
      </c>
      <c r="V2" s="3" t="s">
        <v>8</v>
      </c>
      <c r="W2" s="26" t="s">
        <v>9</v>
      </c>
      <c r="X2" s="25" t="s">
        <v>7</v>
      </c>
      <c r="Y2" s="3" t="s">
        <v>8</v>
      </c>
      <c r="Z2" s="26" t="s">
        <v>9</v>
      </c>
      <c r="AA2" s="25" t="s">
        <v>7</v>
      </c>
      <c r="AB2" s="3" t="s">
        <v>8</v>
      </c>
      <c r="AC2" s="26" t="s">
        <v>9</v>
      </c>
      <c r="AD2" s="25" t="s">
        <v>7</v>
      </c>
      <c r="AE2" s="3" t="s">
        <v>8</v>
      </c>
      <c r="AF2" s="26" t="s">
        <v>9</v>
      </c>
      <c r="AG2" s="25" t="s">
        <v>7</v>
      </c>
      <c r="AH2" s="3" t="s">
        <v>8</v>
      </c>
      <c r="AI2" s="26" t="s">
        <v>9</v>
      </c>
      <c r="AJ2" s="25" t="s">
        <v>7</v>
      </c>
      <c r="AK2" s="3" t="s">
        <v>8</v>
      </c>
      <c r="AL2" s="26" t="s">
        <v>9</v>
      </c>
      <c r="AM2" s="25" t="s">
        <v>7</v>
      </c>
      <c r="AN2" s="3" t="s">
        <v>8</v>
      </c>
      <c r="AO2" s="26" t="s">
        <v>9</v>
      </c>
      <c r="AP2" s="25" t="s">
        <v>7</v>
      </c>
      <c r="AQ2" s="3" t="s">
        <v>8</v>
      </c>
      <c r="AR2" s="26" t="s">
        <v>9</v>
      </c>
      <c r="AS2" s="25" t="s">
        <v>7</v>
      </c>
      <c r="AT2" s="3" t="s">
        <v>8</v>
      </c>
      <c r="AU2" s="26" t="s">
        <v>9</v>
      </c>
      <c r="AV2" s="25" t="s">
        <v>7</v>
      </c>
      <c r="AW2" s="3" t="s">
        <v>8</v>
      </c>
      <c r="AX2" s="26" t="s">
        <v>9</v>
      </c>
      <c r="AY2" s="25" t="s">
        <v>7</v>
      </c>
      <c r="AZ2" s="3" t="s">
        <v>8</v>
      </c>
      <c r="BA2" s="26" t="s">
        <v>9</v>
      </c>
      <c r="BB2" s="25" t="s">
        <v>7</v>
      </c>
      <c r="BC2" s="3" t="s">
        <v>8</v>
      </c>
      <c r="BD2" s="26" t="s">
        <v>9</v>
      </c>
      <c r="BE2" s="25" t="s">
        <v>7</v>
      </c>
      <c r="BF2" s="3" t="s">
        <v>8</v>
      </c>
      <c r="BG2" s="26" t="s">
        <v>9</v>
      </c>
      <c r="BH2" s="25" t="s">
        <v>7</v>
      </c>
      <c r="BI2" s="3" t="s">
        <v>8</v>
      </c>
      <c r="BJ2" s="26" t="s">
        <v>9</v>
      </c>
      <c r="BK2" s="25" t="s">
        <v>7</v>
      </c>
      <c r="BL2" s="3" t="s">
        <v>8</v>
      </c>
      <c r="BM2" s="26" t="s">
        <v>9</v>
      </c>
      <c r="BN2" s="25" t="s">
        <v>7</v>
      </c>
      <c r="BO2" s="3" t="s">
        <v>8</v>
      </c>
      <c r="BP2" s="26" t="s">
        <v>9</v>
      </c>
      <c r="BQ2" s="58"/>
      <c r="BR2" s="66">
        <v>1</v>
      </c>
      <c r="BS2" s="66">
        <v>2</v>
      </c>
      <c r="BT2" s="66">
        <v>3</v>
      </c>
      <c r="BU2" s="66">
        <v>4</v>
      </c>
      <c r="BV2" s="66">
        <v>5</v>
      </c>
      <c r="BW2" s="66">
        <v>6</v>
      </c>
      <c r="BX2" s="66">
        <v>7</v>
      </c>
      <c r="BY2" s="66">
        <v>8</v>
      </c>
      <c r="BZ2" s="66">
        <v>9</v>
      </c>
      <c r="CA2" s="66">
        <v>10</v>
      </c>
      <c r="CB2" s="66">
        <v>11</v>
      </c>
      <c r="CC2" s="66">
        <v>12</v>
      </c>
      <c r="CD2" s="66">
        <v>13</v>
      </c>
      <c r="CE2" s="66">
        <v>14</v>
      </c>
      <c r="CF2" s="66">
        <v>15</v>
      </c>
      <c r="CG2" s="66">
        <v>16</v>
      </c>
      <c r="CH2" s="66">
        <v>17</v>
      </c>
      <c r="CI2" s="66">
        <v>18</v>
      </c>
      <c r="CJ2" s="66">
        <v>19</v>
      </c>
      <c r="CK2" s="66">
        <v>20</v>
      </c>
      <c r="CL2" s="64" t="s">
        <v>26</v>
      </c>
      <c r="CM2" s="64" t="s">
        <v>27</v>
      </c>
    </row>
    <row r="3" spans="1:91" ht="15">
      <c r="A3" s="6" t="s">
        <v>182</v>
      </c>
      <c r="B3" s="6" t="s">
        <v>183</v>
      </c>
      <c r="C3" s="70" t="s">
        <v>42</v>
      </c>
      <c r="D3" s="70"/>
      <c r="E3" s="6" t="s">
        <v>11</v>
      </c>
      <c r="F3" s="6"/>
      <c r="G3" s="6">
        <f>SUM(N3,T3,AO3,AR3,AX3,BJ3)</f>
        <v>5469</v>
      </c>
      <c r="H3" s="6">
        <v>1</v>
      </c>
      <c r="I3" s="2" t="s">
        <v>257</v>
      </c>
      <c r="J3" s="86">
        <v>39.05</v>
      </c>
      <c r="K3" s="57">
        <v>677</v>
      </c>
      <c r="L3" s="85" t="s">
        <v>170</v>
      </c>
      <c r="M3" s="85">
        <v>15.04</v>
      </c>
      <c r="N3" s="325">
        <v>861</v>
      </c>
      <c r="O3" s="84"/>
      <c r="P3" s="85"/>
      <c r="Q3" s="83"/>
      <c r="R3" s="33" t="s">
        <v>170</v>
      </c>
      <c r="S3" s="87">
        <v>16.43</v>
      </c>
      <c r="T3" s="324">
        <v>908</v>
      </c>
      <c r="U3" s="33"/>
      <c r="V3" s="17"/>
      <c r="W3" s="28"/>
      <c r="X3" s="27"/>
      <c r="Y3" s="105"/>
      <c r="Z3" s="28"/>
      <c r="AA3" s="27"/>
      <c r="AB3" s="105"/>
      <c r="AC3" s="28"/>
      <c r="AD3" s="27"/>
      <c r="AE3" s="105"/>
      <c r="AF3" s="28"/>
      <c r="AG3" s="27"/>
      <c r="AH3" s="105"/>
      <c r="AI3" s="28"/>
      <c r="AJ3" s="27"/>
      <c r="AK3" s="105"/>
      <c r="AL3" s="28"/>
      <c r="AM3" s="27" t="s">
        <v>258</v>
      </c>
      <c r="AN3" s="17">
        <v>17.02</v>
      </c>
      <c r="AO3" s="304">
        <v>943</v>
      </c>
      <c r="AP3" s="27" t="s">
        <v>258</v>
      </c>
      <c r="AQ3" s="17">
        <v>17.16</v>
      </c>
      <c r="AR3" s="304">
        <v>952</v>
      </c>
      <c r="AS3" s="27"/>
      <c r="AT3" s="17"/>
      <c r="AU3" s="106"/>
      <c r="AV3" s="111" t="s">
        <v>258</v>
      </c>
      <c r="AW3" s="82">
        <v>15.43</v>
      </c>
      <c r="AX3" s="304">
        <v>849</v>
      </c>
      <c r="AY3" s="27" t="s">
        <v>327</v>
      </c>
      <c r="AZ3" s="17">
        <v>36.75</v>
      </c>
      <c r="BA3" s="28">
        <v>635</v>
      </c>
      <c r="BB3" s="27"/>
      <c r="BC3" s="17"/>
      <c r="BD3" s="32"/>
      <c r="BE3" s="17"/>
      <c r="BF3" s="17"/>
      <c r="BG3" s="88"/>
      <c r="BH3" s="17" t="s">
        <v>258</v>
      </c>
      <c r="BI3" s="17">
        <v>17.23</v>
      </c>
      <c r="BJ3" s="324">
        <v>956</v>
      </c>
      <c r="BK3" s="33"/>
      <c r="BL3" s="17"/>
      <c r="BM3" s="28"/>
      <c r="BN3" s="33"/>
      <c r="BO3" s="17"/>
      <c r="BP3" s="28"/>
      <c r="BQ3">
        <f>COUNTA(BP3,#REF!,#REF!,#REF!,BM3,BJ3,BG3,BD3,BA3,AX3,#REF!,AR3,AO3,AL3,AI3,AF3,AC3,Z3,W3,#REF!)</f>
        <v>10</v>
      </c>
      <c r="BR3" s="65" t="e">
        <f>#REF!</f>
        <v>#REF!</v>
      </c>
      <c r="BS3" s="65">
        <f>W3</f>
        <v>0</v>
      </c>
      <c r="BT3" s="65">
        <f>Z3</f>
        <v>0</v>
      </c>
      <c r="BU3" s="65">
        <f>AC3</f>
        <v>0</v>
      </c>
      <c r="BV3" s="65">
        <f>AF3</f>
        <v>0</v>
      </c>
      <c r="BW3" s="65">
        <f>AI3</f>
        <v>0</v>
      </c>
      <c r="BX3" s="65">
        <f>AL3</f>
        <v>0</v>
      </c>
      <c r="BY3" s="65">
        <f>AO3</f>
        <v>943</v>
      </c>
      <c r="BZ3" s="65">
        <f>AR3</f>
        <v>952</v>
      </c>
      <c r="CA3" s="65" t="e">
        <f>#REF!</f>
        <v>#REF!</v>
      </c>
      <c r="CB3" s="65">
        <f>AX3</f>
        <v>849</v>
      </c>
      <c r="CC3" s="65">
        <f>BA3</f>
        <v>635</v>
      </c>
      <c r="CD3" s="65">
        <f>BD3</f>
        <v>0</v>
      </c>
      <c r="CE3" s="65">
        <f>BG3</f>
        <v>0</v>
      </c>
      <c r="CF3" s="65">
        <f>BJ3</f>
        <v>956</v>
      </c>
      <c r="CG3" s="65">
        <f>BM3</f>
        <v>0</v>
      </c>
      <c r="CH3" s="65" t="e">
        <f>#REF!</f>
        <v>#REF!</v>
      </c>
      <c r="CI3" s="65" t="e">
        <f>#REF!</f>
        <v>#REF!</v>
      </c>
      <c r="CJ3" s="65" t="e">
        <f>#REF!</f>
        <v>#REF!</v>
      </c>
      <c r="CK3" s="65">
        <f>BP3</f>
        <v>0</v>
      </c>
      <c r="CL3" s="63" t="e">
        <f>LARGE(BR3:CK3,1)</f>
        <v>#REF!</v>
      </c>
      <c r="CM3" s="63" t="e">
        <f>LARGE(BR3:CK3,2)</f>
        <v>#REF!</v>
      </c>
    </row>
    <row r="4" spans="1:91" ht="15">
      <c r="A4" s="6" t="s">
        <v>10</v>
      </c>
      <c r="B4" s="6" t="s">
        <v>181</v>
      </c>
      <c r="C4" s="6" t="s">
        <v>35</v>
      </c>
      <c r="D4" s="6"/>
      <c r="E4" s="6" t="s">
        <v>11</v>
      </c>
      <c r="F4" s="6"/>
      <c r="G4" s="6">
        <f>SUM(T4,AI4,AR4,BJ4,BM4,AF4)</f>
        <v>4497</v>
      </c>
      <c r="H4" s="6">
        <v>2</v>
      </c>
      <c r="I4" s="2" t="s">
        <v>257</v>
      </c>
      <c r="J4" s="86">
        <v>40.52</v>
      </c>
      <c r="K4" s="57">
        <v>704</v>
      </c>
      <c r="L4" s="85" t="s">
        <v>258</v>
      </c>
      <c r="M4" s="85">
        <v>13.61</v>
      </c>
      <c r="N4" s="83">
        <v>741</v>
      </c>
      <c r="O4" s="84"/>
      <c r="P4" s="85"/>
      <c r="Q4" s="83"/>
      <c r="R4" s="33" t="s">
        <v>177</v>
      </c>
      <c r="S4" s="87">
        <v>60.47</v>
      </c>
      <c r="T4" s="324">
        <v>818</v>
      </c>
      <c r="U4" s="33"/>
      <c r="V4" s="17"/>
      <c r="W4" s="28"/>
      <c r="X4" s="27"/>
      <c r="Y4" s="105"/>
      <c r="Z4" s="28"/>
      <c r="AA4" s="27"/>
      <c r="AB4" s="105"/>
      <c r="AC4" s="28"/>
      <c r="AD4" s="27" t="s">
        <v>261</v>
      </c>
      <c r="AE4" s="105">
        <v>45.66</v>
      </c>
      <c r="AF4" s="304">
        <v>798</v>
      </c>
      <c r="AG4" s="27" t="s">
        <v>259</v>
      </c>
      <c r="AH4" s="105">
        <v>64.6</v>
      </c>
      <c r="AI4" s="304">
        <v>876</v>
      </c>
      <c r="AJ4" s="27"/>
      <c r="AK4" s="105"/>
      <c r="AL4" s="28"/>
      <c r="AM4" s="27"/>
      <c r="AN4" s="17"/>
      <c r="AO4" s="28"/>
      <c r="AP4" s="27" t="s">
        <v>259</v>
      </c>
      <c r="AQ4" s="17">
        <v>75.45</v>
      </c>
      <c r="AR4" s="304">
        <v>1029</v>
      </c>
      <c r="AS4" s="27"/>
      <c r="AT4" s="17"/>
      <c r="AU4" s="106"/>
      <c r="AV4" s="82"/>
      <c r="AW4" s="82"/>
      <c r="AX4" s="28"/>
      <c r="AY4" s="27"/>
      <c r="AZ4" s="17"/>
      <c r="BA4" s="28"/>
      <c r="BB4" s="27"/>
      <c r="BC4" s="17"/>
      <c r="BD4" s="28"/>
      <c r="BE4" s="56" t="s">
        <v>259</v>
      </c>
      <c r="BF4" s="17">
        <v>58.43</v>
      </c>
      <c r="BG4" s="28">
        <v>790</v>
      </c>
      <c r="BH4" s="27" t="s">
        <v>259</v>
      </c>
      <c r="BI4" s="17">
        <v>71.69</v>
      </c>
      <c r="BJ4" s="304">
        <v>976</v>
      </c>
      <c r="BK4" s="27" t="s">
        <v>435</v>
      </c>
      <c r="BL4" s="17">
        <v>68.54</v>
      </c>
      <c r="BM4" s="28"/>
      <c r="BN4" s="27"/>
      <c r="BO4" s="17"/>
      <c r="BP4" s="28"/>
      <c r="BQ4">
        <f>COUNTA(BP4,#REF!,#REF!,#REF!,BM4,BJ4,BG4,BD4,BA4,AX4,#REF!,AR4,AO4,AL4,AI4,AF4,AC4,Z4,W4,#REF!)</f>
        <v>10</v>
      </c>
      <c r="BR4" s="65" t="e">
        <f>#REF!</f>
        <v>#REF!</v>
      </c>
      <c r="BS4" s="65">
        <f>W4</f>
        <v>0</v>
      </c>
      <c r="BT4" s="65">
        <f>Z4</f>
        <v>0</v>
      </c>
      <c r="BU4" s="65">
        <f>AC4</f>
        <v>0</v>
      </c>
      <c r="BV4" s="65">
        <f>AF4</f>
        <v>798</v>
      </c>
      <c r="BW4" s="65">
        <f>AI4</f>
        <v>876</v>
      </c>
      <c r="BX4" s="65">
        <f>AL4</f>
        <v>0</v>
      </c>
      <c r="BY4" s="65">
        <f>AO4</f>
        <v>0</v>
      </c>
      <c r="BZ4" s="65">
        <f>AR4</f>
        <v>1029</v>
      </c>
      <c r="CA4" s="65" t="e">
        <f>#REF!</f>
        <v>#REF!</v>
      </c>
      <c r="CB4" s="65">
        <f>AX4</f>
        <v>0</v>
      </c>
      <c r="CC4" s="65">
        <f>BA4</f>
        <v>0</v>
      </c>
      <c r="CD4" s="65">
        <f>BD4</f>
        <v>0</v>
      </c>
      <c r="CE4" s="65">
        <f>BG4</f>
        <v>790</v>
      </c>
      <c r="CF4" s="65">
        <f>BJ4</f>
        <v>976</v>
      </c>
      <c r="CG4" s="65">
        <f>BM4</f>
        <v>0</v>
      </c>
      <c r="CH4" s="65" t="e">
        <f>#REF!</f>
        <v>#REF!</v>
      </c>
      <c r="CI4" s="65" t="e">
        <f>#REF!</f>
        <v>#REF!</v>
      </c>
      <c r="CJ4" s="65" t="e">
        <f>#REF!</f>
        <v>#REF!</v>
      </c>
      <c r="CK4" s="65">
        <f>BP4</f>
        <v>0</v>
      </c>
      <c r="CL4" s="63" t="e">
        <f>LARGE(BR4:CK4,1)</f>
        <v>#REF!</v>
      </c>
      <c r="CM4" s="63" t="e">
        <f>LARGE(BR4:CK4,2)</f>
        <v>#REF!</v>
      </c>
    </row>
    <row r="5" spans="1:91" ht="15">
      <c r="A5" s="261" t="s">
        <v>175</v>
      </c>
      <c r="B5" s="261" t="s">
        <v>176</v>
      </c>
      <c r="C5" s="261" t="s">
        <v>47</v>
      </c>
      <c r="D5" s="261"/>
      <c r="E5" s="261" t="s">
        <v>11</v>
      </c>
      <c r="F5" s="261"/>
      <c r="G5" s="261">
        <f>SUM(K5,AF5,AR5,AU5,AX5,BJ5)</f>
        <v>4275</v>
      </c>
      <c r="H5" s="261">
        <v>3</v>
      </c>
      <c r="I5" s="2">
        <v>500</v>
      </c>
      <c r="J5" s="86">
        <v>39.4</v>
      </c>
      <c r="K5" s="311">
        <v>684</v>
      </c>
      <c r="L5" s="85" t="s">
        <v>258</v>
      </c>
      <c r="M5" s="85">
        <v>9.72</v>
      </c>
      <c r="N5" s="83">
        <v>554</v>
      </c>
      <c r="O5" s="84"/>
      <c r="P5" s="85"/>
      <c r="Q5" s="83"/>
      <c r="R5" s="62" t="s">
        <v>177</v>
      </c>
      <c r="S5" s="87">
        <v>38.77</v>
      </c>
      <c r="T5" s="75">
        <v>673</v>
      </c>
      <c r="U5" s="62"/>
      <c r="V5" s="3"/>
      <c r="W5" s="26"/>
      <c r="X5" s="25"/>
      <c r="Y5" s="87"/>
      <c r="Z5" s="26"/>
      <c r="AA5" s="27"/>
      <c r="AB5" s="105"/>
      <c r="AC5" s="28"/>
      <c r="AD5" s="27" t="s">
        <v>259</v>
      </c>
      <c r="AE5" s="105">
        <v>41.25</v>
      </c>
      <c r="AF5" s="326">
        <v>718</v>
      </c>
      <c r="AG5" s="27" t="s">
        <v>257</v>
      </c>
      <c r="AH5" s="105">
        <v>23.85</v>
      </c>
      <c r="AI5" s="28">
        <v>411</v>
      </c>
      <c r="AJ5" s="27"/>
      <c r="AK5" s="105"/>
      <c r="AL5" s="28"/>
      <c r="AM5" s="27"/>
      <c r="AN5" s="17"/>
      <c r="AO5" s="28"/>
      <c r="AP5" s="27">
        <v>600</v>
      </c>
      <c r="AQ5" s="17">
        <v>41.29</v>
      </c>
      <c r="AR5" s="326">
        <v>719</v>
      </c>
      <c r="AS5" s="27">
        <v>500</v>
      </c>
      <c r="AT5" s="17">
        <v>41.12</v>
      </c>
      <c r="AU5" s="327">
        <v>715</v>
      </c>
      <c r="AV5" s="111" t="s">
        <v>259</v>
      </c>
      <c r="AW5" s="82">
        <v>42.44</v>
      </c>
      <c r="AX5" s="326">
        <v>739</v>
      </c>
      <c r="AY5" s="27"/>
      <c r="AZ5" s="17"/>
      <c r="BA5" s="28"/>
      <c r="BB5" s="27"/>
      <c r="BC5" s="17"/>
      <c r="BD5" s="28"/>
      <c r="BE5" s="56"/>
      <c r="BF5" s="17"/>
      <c r="BG5" s="28"/>
      <c r="BH5" s="27" t="s">
        <v>429</v>
      </c>
      <c r="BI5" s="17">
        <v>40.26</v>
      </c>
      <c r="BJ5" s="326">
        <v>700</v>
      </c>
      <c r="BK5" s="328"/>
      <c r="BL5" s="17"/>
      <c r="BM5" s="28"/>
      <c r="BN5" s="27"/>
      <c r="BO5" s="17"/>
      <c r="BP5" s="28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3"/>
      <c r="CM5" s="63"/>
    </row>
    <row r="6" spans="1:91" ht="15">
      <c r="A6" s="6" t="s">
        <v>15</v>
      </c>
      <c r="B6" s="6" t="s">
        <v>184</v>
      </c>
      <c r="C6" s="6" t="s">
        <v>42</v>
      </c>
      <c r="D6" s="6"/>
      <c r="E6" s="6" t="s">
        <v>36</v>
      </c>
      <c r="F6" s="6"/>
      <c r="G6" s="6">
        <f>SUM(K6,T6,AX6,BA6,BD6,BM6)</f>
        <v>3106</v>
      </c>
      <c r="H6" s="6">
        <v>4</v>
      </c>
      <c r="I6" s="2" t="s">
        <v>257</v>
      </c>
      <c r="J6" s="86">
        <v>31.95</v>
      </c>
      <c r="K6" s="310">
        <v>548</v>
      </c>
      <c r="L6" s="85" t="s">
        <v>259</v>
      </c>
      <c r="M6" s="85">
        <v>38.59</v>
      </c>
      <c r="N6" s="83">
        <f>SUM(513+25)</f>
        <v>538</v>
      </c>
      <c r="O6" s="84"/>
      <c r="P6" s="85"/>
      <c r="Q6" s="83"/>
      <c r="R6" s="33" t="s">
        <v>185</v>
      </c>
      <c r="S6" s="87">
        <v>11.85</v>
      </c>
      <c r="T6" s="330">
        <v>637</v>
      </c>
      <c r="U6" s="62"/>
      <c r="V6" s="3"/>
      <c r="W6" s="26"/>
      <c r="X6" s="25" t="s">
        <v>257</v>
      </c>
      <c r="Y6" s="87">
        <v>27.8</v>
      </c>
      <c r="Z6" s="26">
        <v>473</v>
      </c>
      <c r="AA6" s="27" t="s">
        <v>177</v>
      </c>
      <c r="AB6" s="105">
        <v>38.6</v>
      </c>
      <c r="AC6" s="28">
        <f>SUM(513+25)</f>
        <v>538</v>
      </c>
      <c r="AD6" s="27" t="s">
        <v>261</v>
      </c>
      <c r="AE6" s="105">
        <v>31.5</v>
      </c>
      <c r="AF6" s="28">
        <v>540</v>
      </c>
      <c r="AG6" s="27"/>
      <c r="AH6" s="105"/>
      <c r="AI6" s="28"/>
      <c r="AJ6" s="27"/>
      <c r="AK6" s="105"/>
      <c r="AL6" s="28"/>
      <c r="AM6" s="27"/>
      <c r="AN6" s="17"/>
      <c r="AO6" s="28"/>
      <c r="AP6" s="27"/>
      <c r="AQ6" s="17"/>
      <c r="AR6" s="28"/>
      <c r="AS6" s="27"/>
      <c r="AT6" s="17"/>
      <c r="AU6" s="106"/>
      <c r="AV6" s="111" t="s">
        <v>258</v>
      </c>
      <c r="AW6" s="82">
        <v>13.17</v>
      </c>
      <c r="AX6" s="329">
        <v>715</v>
      </c>
      <c r="AY6" s="27" t="s">
        <v>327</v>
      </c>
      <c r="AZ6" s="17">
        <v>34.81</v>
      </c>
      <c r="BA6" s="329">
        <v>600</v>
      </c>
      <c r="BB6" s="27" t="s">
        <v>259</v>
      </c>
      <c r="BC6" s="17">
        <v>43.48</v>
      </c>
      <c r="BD6" s="329">
        <f>SUM(581+25)</f>
        <v>606</v>
      </c>
      <c r="BE6" s="56"/>
      <c r="BF6" s="17"/>
      <c r="BG6" s="28"/>
      <c r="BH6" s="27"/>
      <c r="BI6" s="17"/>
      <c r="BJ6" s="28"/>
      <c r="BK6" s="27" t="s">
        <v>258</v>
      </c>
      <c r="BL6" s="17">
        <v>12.24</v>
      </c>
      <c r="BM6" s="28"/>
      <c r="BN6" s="27"/>
      <c r="BO6" s="17"/>
      <c r="BP6" s="28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3"/>
      <c r="CM6" s="63"/>
    </row>
    <row r="7" spans="1:91" ht="15">
      <c r="A7" s="6" t="s">
        <v>55</v>
      </c>
      <c r="B7" s="6" t="s">
        <v>56</v>
      </c>
      <c r="C7" s="6" t="s">
        <v>35</v>
      </c>
      <c r="D7" s="6"/>
      <c r="E7" s="6" t="s">
        <v>11</v>
      </c>
      <c r="F7" s="6"/>
      <c r="G7" s="6">
        <f>SUM(N7,Q7,T7,AF7,AX7,BA7)</f>
        <v>2911</v>
      </c>
      <c r="H7" s="6">
        <v>5</v>
      </c>
      <c r="I7" s="2" t="s">
        <v>257</v>
      </c>
      <c r="J7" s="86">
        <v>25.96</v>
      </c>
      <c r="K7" s="57">
        <v>440</v>
      </c>
      <c r="L7" s="85" t="s">
        <v>258</v>
      </c>
      <c r="M7" s="85">
        <v>10.38</v>
      </c>
      <c r="N7" s="325">
        <v>551</v>
      </c>
      <c r="O7" s="84" t="s">
        <v>259</v>
      </c>
      <c r="P7" s="85">
        <v>36.77</v>
      </c>
      <c r="Q7" s="325">
        <v>487</v>
      </c>
      <c r="R7" s="33" t="s">
        <v>170</v>
      </c>
      <c r="S7" s="87">
        <v>10.05</v>
      </c>
      <c r="T7" s="324">
        <v>531</v>
      </c>
      <c r="U7" s="33"/>
      <c r="V7" s="17"/>
      <c r="W7" s="28"/>
      <c r="X7" s="27"/>
      <c r="Y7" s="105"/>
      <c r="Z7" s="28"/>
      <c r="AA7" s="27"/>
      <c r="AB7" s="105"/>
      <c r="AC7" s="28"/>
      <c r="AD7" s="27" t="s">
        <v>258</v>
      </c>
      <c r="AE7" s="105">
        <v>8.73</v>
      </c>
      <c r="AF7" s="304">
        <v>454</v>
      </c>
      <c r="AG7" s="27"/>
      <c r="AH7" s="105"/>
      <c r="AI7" s="28"/>
      <c r="AJ7" s="27"/>
      <c r="AK7" s="105"/>
      <c r="AL7" s="28"/>
      <c r="AM7" s="27"/>
      <c r="AN7" s="17"/>
      <c r="AO7" s="28"/>
      <c r="AP7" s="27"/>
      <c r="AQ7" s="17"/>
      <c r="AR7" s="28"/>
      <c r="AS7" s="27"/>
      <c r="AT7" s="17"/>
      <c r="AU7" s="106"/>
      <c r="AV7" s="111" t="s">
        <v>327</v>
      </c>
      <c r="AW7" s="82">
        <v>26.1</v>
      </c>
      <c r="AX7" s="304">
        <v>442</v>
      </c>
      <c r="AY7" s="27" t="s">
        <v>177</v>
      </c>
      <c r="AZ7" s="17">
        <v>33.81</v>
      </c>
      <c r="BA7" s="304">
        <v>446</v>
      </c>
      <c r="BB7" s="27"/>
      <c r="BC7" s="17"/>
      <c r="BD7" s="28"/>
      <c r="BE7" s="56"/>
      <c r="BF7" s="17"/>
      <c r="BG7" s="28"/>
      <c r="BH7" s="27"/>
      <c r="BI7" s="17"/>
      <c r="BJ7" s="28"/>
      <c r="BK7" s="27"/>
      <c r="BL7" s="17"/>
      <c r="BM7" s="28"/>
      <c r="BN7" s="27"/>
      <c r="BO7" s="17"/>
      <c r="BP7" s="28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3"/>
      <c r="CM7" s="63"/>
    </row>
    <row r="8" spans="1:91" ht="15">
      <c r="A8" s="6" t="s">
        <v>57</v>
      </c>
      <c r="B8" s="6" t="s">
        <v>58</v>
      </c>
      <c r="C8" s="6" t="s">
        <v>59</v>
      </c>
      <c r="D8" s="6"/>
      <c r="E8" s="6" t="s">
        <v>20</v>
      </c>
      <c r="F8" s="6"/>
      <c r="G8" s="6">
        <f>SUM(AF8,AI8,AL8,AX8,BA8,BD8)</f>
        <v>2819</v>
      </c>
      <c r="H8" s="6">
        <v>6</v>
      </c>
      <c r="I8" s="2"/>
      <c r="J8" s="86"/>
      <c r="K8" s="57"/>
      <c r="L8" s="85"/>
      <c r="M8" s="85"/>
      <c r="N8" s="83"/>
      <c r="O8" s="84"/>
      <c r="P8" s="85"/>
      <c r="Q8" s="83"/>
      <c r="R8" s="33" t="s">
        <v>170</v>
      </c>
      <c r="S8" s="87">
        <v>8</v>
      </c>
      <c r="T8" s="88">
        <v>411</v>
      </c>
      <c r="U8" s="33" t="s">
        <v>177</v>
      </c>
      <c r="V8" s="17">
        <v>31.54</v>
      </c>
      <c r="W8" s="28">
        <v>415</v>
      </c>
      <c r="X8" s="27" t="s">
        <v>257</v>
      </c>
      <c r="Y8" s="105">
        <v>24</v>
      </c>
      <c r="Z8" s="28">
        <v>404</v>
      </c>
      <c r="AA8" s="27" t="s">
        <v>177</v>
      </c>
      <c r="AB8" s="105">
        <v>31.85</v>
      </c>
      <c r="AC8" s="28">
        <v>419</v>
      </c>
      <c r="AD8" s="27" t="s">
        <v>258</v>
      </c>
      <c r="AE8" s="105">
        <v>9.17</v>
      </c>
      <c r="AF8" s="329">
        <v>479</v>
      </c>
      <c r="AG8" s="27" t="s">
        <v>259</v>
      </c>
      <c r="AH8" s="105">
        <v>32.48</v>
      </c>
      <c r="AI8" s="329">
        <v>428</v>
      </c>
      <c r="AJ8" s="27" t="s">
        <v>170</v>
      </c>
      <c r="AK8" s="105">
        <v>9.27</v>
      </c>
      <c r="AL8" s="329">
        <v>485</v>
      </c>
      <c r="AM8" s="27" t="s">
        <v>327</v>
      </c>
      <c r="AN8" s="17">
        <v>24.89</v>
      </c>
      <c r="AO8" s="28">
        <v>420</v>
      </c>
      <c r="AP8" s="27"/>
      <c r="AQ8" s="17"/>
      <c r="AR8" s="28"/>
      <c r="AS8" s="27"/>
      <c r="AT8" s="17"/>
      <c r="AU8" s="106"/>
      <c r="AV8" s="111" t="s">
        <v>258</v>
      </c>
      <c r="AW8" s="82">
        <v>8.76</v>
      </c>
      <c r="AX8" s="329">
        <v>455</v>
      </c>
      <c r="AY8" s="27" t="s">
        <v>327</v>
      </c>
      <c r="AZ8" s="17">
        <v>28.2</v>
      </c>
      <c r="BA8" s="329">
        <v>480</v>
      </c>
      <c r="BB8" s="27" t="s">
        <v>177</v>
      </c>
      <c r="BC8" s="17">
        <v>37.1</v>
      </c>
      <c r="BD8" s="329">
        <v>492</v>
      </c>
      <c r="BE8" s="56"/>
      <c r="BF8" s="17"/>
      <c r="BG8" s="28"/>
      <c r="BH8" s="27"/>
      <c r="BI8" s="17"/>
      <c r="BJ8" s="28"/>
      <c r="BK8" s="27"/>
      <c r="BL8" s="17"/>
      <c r="BM8" s="28"/>
      <c r="BN8" s="27"/>
      <c r="BO8" s="17"/>
      <c r="BP8" s="28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3"/>
      <c r="CM8" s="63"/>
    </row>
    <row r="9" spans="1:91" ht="15">
      <c r="A9" s="6" t="s">
        <v>34</v>
      </c>
      <c r="B9" s="6" t="s">
        <v>41</v>
      </c>
      <c r="C9" s="6" t="s">
        <v>35</v>
      </c>
      <c r="D9" s="6"/>
      <c r="E9" s="6" t="s">
        <v>11</v>
      </c>
      <c r="F9" s="6"/>
      <c r="G9" s="6">
        <f>SUM(K9,T9,Z9,AF9,AI9,AX9)</f>
        <v>2814</v>
      </c>
      <c r="H9" s="6">
        <v>7</v>
      </c>
      <c r="I9" s="2" t="s">
        <v>257</v>
      </c>
      <c r="J9" s="86">
        <v>32.17</v>
      </c>
      <c r="K9" s="13">
        <v>552</v>
      </c>
      <c r="L9" s="85"/>
      <c r="M9" s="85"/>
      <c r="N9" s="83"/>
      <c r="O9" s="84"/>
      <c r="P9" s="85"/>
      <c r="Q9" s="83"/>
      <c r="R9" s="33" t="s">
        <v>177</v>
      </c>
      <c r="S9" s="87">
        <v>25.75</v>
      </c>
      <c r="T9" s="324">
        <v>389</v>
      </c>
      <c r="U9" s="33"/>
      <c r="V9" s="17"/>
      <c r="W9" s="28"/>
      <c r="X9" s="27" t="s">
        <v>177</v>
      </c>
      <c r="Y9" s="105">
        <v>32.29</v>
      </c>
      <c r="Z9" s="304">
        <v>424</v>
      </c>
      <c r="AA9" s="27"/>
      <c r="AB9" s="105"/>
      <c r="AC9" s="28"/>
      <c r="AD9" s="27" t="s">
        <v>258</v>
      </c>
      <c r="AE9" s="105">
        <v>10.37</v>
      </c>
      <c r="AF9" s="304">
        <v>550</v>
      </c>
      <c r="AG9" s="27" t="s">
        <v>259</v>
      </c>
      <c r="AH9" s="105">
        <v>33.85</v>
      </c>
      <c r="AI9" s="304">
        <v>447</v>
      </c>
      <c r="AJ9" s="27"/>
      <c r="AK9" s="105"/>
      <c r="AL9" s="28"/>
      <c r="AM9" s="27"/>
      <c r="AN9" s="17"/>
      <c r="AO9" s="28"/>
      <c r="AP9" s="27"/>
      <c r="AQ9" s="17"/>
      <c r="AR9" s="28"/>
      <c r="AS9" s="27"/>
      <c r="AT9" s="17"/>
      <c r="AU9" s="106"/>
      <c r="AV9" s="111" t="s">
        <v>259</v>
      </c>
      <c r="AW9" s="82">
        <v>34.26</v>
      </c>
      <c r="AX9" s="304">
        <v>452</v>
      </c>
      <c r="AY9" s="27"/>
      <c r="AZ9" s="17"/>
      <c r="BA9" s="28"/>
      <c r="BB9" s="27"/>
      <c r="BC9" s="17"/>
      <c r="BD9" s="28"/>
      <c r="BE9" s="27"/>
      <c r="BF9" s="17"/>
      <c r="BG9" s="28"/>
      <c r="BH9" s="27"/>
      <c r="BI9" s="17"/>
      <c r="BJ9" s="28"/>
      <c r="BK9" s="27"/>
      <c r="BL9" s="17"/>
      <c r="BM9" s="28"/>
      <c r="BN9" s="27"/>
      <c r="BO9" s="17"/>
      <c r="BP9" s="28"/>
      <c r="BQ9">
        <f>COUNTA(BP9,#REF!,#REF!,#REF!,BM9,BJ9,BG9,BD9,BA9,AX9,#REF!,AR9,AO9,AL9,AI9,AF9,AC9,Z9,W9,#REF!)</f>
        <v>9</v>
      </c>
      <c r="BR9" s="65" t="e">
        <f>#REF!</f>
        <v>#REF!</v>
      </c>
      <c r="BS9" s="65">
        <f>W9</f>
        <v>0</v>
      </c>
      <c r="BT9" s="65">
        <f>Z9</f>
        <v>424</v>
      </c>
      <c r="BU9" s="65">
        <f>AC9</f>
        <v>0</v>
      </c>
      <c r="BV9" s="65">
        <f>AF9</f>
        <v>550</v>
      </c>
      <c r="BW9" s="65">
        <f>AI9</f>
        <v>447</v>
      </c>
      <c r="BX9" s="65">
        <f>AL9</f>
        <v>0</v>
      </c>
      <c r="BY9" s="65">
        <f>AO9</f>
        <v>0</v>
      </c>
      <c r="BZ9" s="65">
        <f>AR9</f>
        <v>0</v>
      </c>
      <c r="CA9" s="65" t="e">
        <f>#REF!</f>
        <v>#REF!</v>
      </c>
      <c r="CB9" s="65">
        <f>AX9</f>
        <v>452</v>
      </c>
      <c r="CC9" s="65">
        <f>BA9</f>
        <v>0</v>
      </c>
      <c r="CD9" s="65">
        <f>BD9</f>
        <v>0</v>
      </c>
      <c r="CE9" s="65">
        <f>BG9</f>
        <v>0</v>
      </c>
      <c r="CF9" s="65">
        <f>BJ9</f>
        <v>0</v>
      </c>
      <c r="CG9" s="65">
        <f>BM9</f>
        <v>0</v>
      </c>
      <c r="CH9" s="65" t="e">
        <f>#REF!</f>
        <v>#REF!</v>
      </c>
      <c r="CI9" s="65" t="e">
        <f>#REF!</f>
        <v>#REF!</v>
      </c>
      <c r="CJ9" s="65" t="e">
        <f>#REF!</f>
        <v>#REF!</v>
      </c>
      <c r="CK9" s="65">
        <f>BP9</f>
        <v>0</v>
      </c>
      <c r="CL9" s="63" t="e">
        <f>LARGE(BR9:CK9,1)</f>
        <v>#REF!</v>
      </c>
      <c r="CM9" s="63" t="e">
        <f>LARGE(BR9:CK9,2)</f>
        <v>#REF!</v>
      </c>
    </row>
    <row r="10" spans="1:91" ht="15">
      <c r="A10" s="6" t="s">
        <v>179</v>
      </c>
      <c r="B10" s="6" t="s">
        <v>180</v>
      </c>
      <c r="C10" s="6" t="s">
        <v>35</v>
      </c>
      <c r="D10" s="6"/>
      <c r="E10" s="6" t="s">
        <v>61</v>
      </c>
      <c r="F10" s="6"/>
      <c r="G10" s="6">
        <f>SUM(N10,T10,W10,AF10,AI10,AX10)</f>
        <v>2747</v>
      </c>
      <c r="H10" s="6">
        <v>8</v>
      </c>
      <c r="I10" s="2"/>
      <c r="J10" s="86"/>
      <c r="K10" s="57"/>
      <c r="L10" s="85" t="s">
        <v>258</v>
      </c>
      <c r="M10" s="85">
        <v>10.2</v>
      </c>
      <c r="N10" s="325">
        <v>540</v>
      </c>
      <c r="O10" s="84" t="s">
        <v>259</v>
      </c>
      <c r="P10" s="85">
        <v>23.96</v>
      </c>
      <c r="Q10" s="83">
        <v>310</v>
      </c>
      <c r="R10" s="62" t="s">
        <v>170</v>
      </c>
      <c r="S10" s="87">
        <v>9.49</v>
      </c>
      <c r="T10" s="324">
        <v>498</v>
      </c>
      <c r="U10" s="33" t="s">
        <v>259</v>
      </c>
      <c r="V10" s="17">
        <v>25.75</v>
      </c>
      <c r="W10" s="304">
        <v>334</v>
      </c>
      <c r="X10" s="27"/>
      <c r="Y10" s="105"/>
      <c r="Z10" s="28"/>
      <c r="AA10" s="27"/>
      <c r="AB10" s="105"/>
      <c r="AC10" s="28"/>
      <c r="AD10" s="27" t="s">
        <v>258</v>
      </c>
      <c r="AE10" s="105">
        <v>10.29</v>
      </c>
      <c r="AF10" s="304">
        <v>545</v>
      </c>
      <c r="AG10" s="27" t="s">
        <v>259</v>
      </c>
      <c r="AH10" s="105">
        <v>23.01</v>
      </c>
      <c r="AI10" s="304">
        <v>296</v>
      </c>
      <c r="AJ10" s="27"/>
      <c r="AK10" s="105"/>
      <c r="AL10" s="28"/>
      <c r="AM10" s="27"/>
      <c r="AN10" s="17"/>
      <c r="AO10" s="28"/>
      <c r="AP10" s="27"/>
      <c r="AQ10" s="17"/>
      <c r="AR10" s="28"/>
      <c r="AS10" s="27"/>
      <c r="AT10" s="17"/>
      <c r="AU10" s="106"/>
      <c r="AV10" s="111" t="s">
        <v>258</v>
      </c>
      <c r="AW10" s="82">
        <v>10.09</v>
      </c>
      <c r="AX10" s="304">
        <v>534</v>
      </c>
      <c r="AY10" s="27"/>
      <c r="AZ10" s="17"/>
      <c r="BA10" s="28"/>
      <c r="BB10" s="27"/>
      <c r="BC10" s="17"/>
      <c r="BD10" s="28"/>
      <c r="BE10" s="27"/>
      <c r="BF10" s="17"/>
      <c r="BG10" s="28"/>
      <c r="BH10" s="27"/>
      <c r="BI10" s="17"/>
      <c r="BJ10" s="28"/>
      <c r="BK10" s="27"/>
      <c r="BL10" s="17"/>
      <c r="BM10" s="28"/>
      <c r="BN10" s="27"/>
      <c r="BO10" s="17"/>
      <c r="BP10" s="28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3"/>
      <c r="CM10" s="63"/>
    </row>
    <row r="11" spans="1:91" ht="15">
      <c r="A11" s="6" t="s">
        <v>236</v>
      </c>
      <c r="B11" s="6" t="s">
        <v>237</v>
      </c>
      <c r="C11" s="6" t="s">
        <v>137</v>
      </c>
      <c r="D11" s="6"/>
      <c r="E11" s="6" t="s">
        <v>89</v>
      </c>
      <c r="F11" s="6"/>
      <c r="G11" s="6">
        <f>SUM(T11,Z11,AI11,AX11,BA11,BD11,)</f>
        <v>2130</v>
      </c>
      <c r="H11" s="6">
        <v>9</v>
      </c>
      <c r="I11" s="2"/>
      <c r="J11" s="86"/>
      <c r="K11" s="57"/>
      <c r="L11" s="85"/>
      <c r="M11" s="85"/>
      <c r="N11" s="83"/>
      <c r="O11" s="84"/>
      <c r="P11" s="85"/>
      <c r="Q11" s="83"/>
      <c r="R11" s="62" t="s">
        <v>177</v>
      </c>
      <c r="S11" s="87">
        <v>19.44</v>
      </c>
      <c r="T11" s="324">
        <f>SUM(268+50)</f>
        <v>318</v>
      </c>
      <c r="U11" s="33"/>
      <c r="V11" s="17"/>
      <c r="W11" s="28"/>
      <c r="X11" s="27" t="s">
        <v>177</v>
      </c>
      <c r="Y11" s="105">
        <v>20.91</v>
      </c>
      <c r="Z11" s="304">
        <f>SUM(267+50)</f>
        <v>317</v>
      </c>
      <c r="AA11" s="27"/>
      <c r="AB11" s="105"/>
      <c r="AC11" s="28"/>
      <c r="AD11" s="27"/>
      <c r="AE11" s="105"/>
      <c r="AF11" s="28"/>
      <c r="AG11" s="27" t="s">
        <v>177</v>
      </c>
      <c r="AH11" s="105">
        <v>19.53</v>
      </c>
      <c r="AI11" s="304">
        <f>SUM(248+50)</f>
        <v>298</v>
      </c>
      <c r="AJ11" s="27"/>
      <c r="AK11" s="105"/>
      <c r="AL11" s="28"/>
      <c r="AM11" s="27"/>
      <c r="AN11" s="17"/>
      <c r="AO11" s="28"/>
      <c r="AP11" s="27"/>
      <c r="AQ11" s="17"/>
      <c r="AR11" s="28"/>
      <c r="AS11" s="27"/>
      <c r="AT11" s="17"/>
      <c r="AU11" s="106"/>
      <c r="AV11" s="111" t="s">
        <v>258</v>
      </c>
      <c r="AW11" s="82">
        <v>8.05</v>
      </c>
      <c r="AX11" s="304">
        <f>SUM(414+50)</f>
        <v>464</v>
      </c>
      <c r="AY11" s="27" t="s">
        <v>327</v>
      </c>
      <c r="AZ11" s="17">
        <v>22.13</v>
      </c>
      <c r="BA11" s="304">
        <f>SUM(370+50)</f>
        <v>420</v>
      </c>
      <c r="BB11" s="27" t="s">
        <v>259</v>
      </c>
      <c r="BC11" s="17">
        <v>20.56</v>
      </c>
      <c r="BD11" s="304">
        <f>SUM(263+50)</f>
        <v>313</v>
      </c>
      <c r="BE11" s="27"/>
      <c r="BF11" s="17"/>
      <c r="BG11" s="28"/>
      <c r="BH11" s="27"/>
      <c r="BI11" s="17"/>
      <c r="BJ11" s="28"/>
      <c r="BK11" s="27"/>
      <c r="BL11" s="17"/>
      <c r="BM11" s="28"/>
      <c r="BN11" s="27"/>
      <c r="BO11" s="17"/>
      <c r="BP11" s="28"/>
      <c r="BQ11">
        <f>COUNTA(BP11,#REF!,#REF!,#REF!,BM11,BJ11,BG11,BD11,BA11,AX11,#REF!,AR11,AO11,AL11,AI11,AF11,AC11,Z11,W11,#REF!)</f>
        <v>10</v>
      </c>
      <c r="BR11" s="65" t="e">
        <f>#REF!</f>
        <v>#REF!</v>
      </c>
      <c r="BS11" s="65">
        <f>W11</f>
        <v>0</v>
      </c>
      <c r="BT11" s="65">
        <f>Z11</f>
        <v>317</v>
      </c>
      <c r="BU11" s="65">
        <f>AC11</f>
        <v>0</v>
      </c>
      <c r="BV11" s="65">
        <f>AF11</f>
        <v>0</v>
      </c>
      <c r="BW11" s="65">
        <f>AI11</f>
        <v>298</v>
      </c>
      <c r="BX11" s="65">
        <f>AL11</f>
        <v>0</v>
      </c>
      <c r="BY11" s="65">
        <f>AO11</f>
        <v>0</v>
      </c>
      <c r="BZ11" s="65">
        <f>AR11</f>
        <v>0</v>
      </c>
      <c r="CA11" s="65" t="e">
        <f>#REF!</f>
        <v>#REF!</v>
      </c>
      <c r="CB11" s="65">
        <f>AX11</f>
        <v>464</v>
      </c>
      <c r="CC11" s="65">
        <f>BA11</f>
        <v>420</v>
      </c>
      <c r="CD11" s="65">
        <f>BD11</f>
        <v>313</v>
      </c>
      <c r="CE11" s="65">
        <f>BG11</f>
        <v>0</v>
      </c>
      <c r="CF11" s="65">
        <f>BJ11</f>
        <v>0</v>
      </c>
      <c r="CG11" s="65">
        <f>BM11</f>
        <v>0</v>
      </c>
      <c r="CH11" s="65" t="e">
        <f>#REF!</f>
        <v>#REF!</v>
      </c>
      <c r="CI11" s="65" t="e">
        <f>#REF!</f>
        <v>#REF!</v>
      </c>
      <c r="CJ11" s="65" t="e">
        <f>#REF!</f>
        <v>#REF!</v>
      </c>
      <c r="CK11" s="65">
        <f>BP11</f>
        <v>0</v>
      </c>
      <c r="CL11" s="63" t="e">
        <f>LARGE(BR11:CK11,1)</f>
        <v>#REF!</v>
      </c>
      <c r="CM11" s="63" t="e">
        <f>LARGE(BR11:CK11,2)</f>
        <v>#REF!</v>
      </c>
    </row>
    <row r="12" spans="1:91" ht="15">
      <c r="A12" s="6" t="s">
        <v>238</v>
      </c>
      <c r="B12" s="6" t="s">
        <v>436</v>
      </c>
      <c r="C12" s="6" t="s">
        <v>137</v>
      </c>
      <c r="D12" s="6"/>
      <c r="E12" s="6" t="s">
        <v>89</v>
      </c>
      <c r="F12" s="6"/>
      <c r="G12" s="6">
        <f>SUM(T12,Z12,AL12,AX12,BA12,BD12,)</f>
        <v>1996</v>
      </c>
      <c r="H12" s="6">
        <v>10</v>
      </c>
      <c r="I12" s="2"/>
      <c r="J12" s="86"/>
      <c r="K12" s="57"/>
      <c r="L12" s="85"/>
      <c r="M12" s="85"/>
      <c r="N12" s="83"/>
      <c r="O12" s="84"/>
      <c r="P12" s="85"/>
      <c r="Q12" s="83"/>
      <c r="R12" s="33" t="s">
        <v>177</v>
      </c>
      <c r="S12" s="87">
        <v>16.53</v>
      </c>
      <c r="T12" s="324">
        <f>SUM(207+50)</f>
        <v>257</v>
      </c>
      <c r="U12" s="33"/>
      <c r="V12" s="17"/>
      <c r="W12" s="28"/>
      <c r="X12" s="27" t="s">
        <v>177</v>
      </c>
      <c r="Y12" s="105">
        <v>18.04</v>
      </c>
      <c r="Z12" s="304">
        <f>SUM(227+50)</f>
        <v>277</v>
      </c>
      <c r="AA12" s="27"/>
      <c r="AB12" s="105"/>
      <c r="AC12" s="28"/>
      <c r="AD12" s="27"/>
      <c r="AE12" s="105"/>
      <c r="AF12" s="28"/>
      <c r="AG12" s="27" t="s">
        <v>177</v>
      </c>
      <c r="AH12" s="105">
        <v>15.23</v>
      </c>
      <c r="AI12" s="28">
        <v>189</v>
      </c>
      <c r="AJ12" s="27" t="s">
        <v>170</v>
      </c>
      <c r="AK12" s="105">
        <v>6.45</v>
      </c>
      <c r="AL12" s="304">
        <f>SUM(320+50)</f>
        <v>370</v>
      </c>
      <c r="AM12" s="27"/>
      <c r="AN12" s="17"/>
      <c r="AO12" s="28"/>
      <c r="AP12" s="27"/>
      <c r="AQ12" s="17"/>
      <c r="AR12" s="28"/>
      <c r="AS12" s="27"/>
      <c r="AT12" s="17"/>
      <c r="AU12" s="106"/>
      <c r="AV12" s="111" t="s">
        <v>258</v>
      </c>
      <c r="AW12" s="82">
        <v>7.16</v>
      </c>
      <c r="AX12" s="304">
        <f>SUM(361+50)</f>
        <v>411</v>
      </c>
      <c r="AY12" s="27" t="s">
        <v>327</v>
      </c>
      <c r="AZ12" s="17">
        <v>19.46</v>
      </c>
      <c r="BA12" s="304">
        <f>SUM(322+50)</f>
        <v>372</v>
      </c>
      <c r="BB12" s="27" t="s">
        <v>259</v>
      </c>
      <c r="BC12" s="17">
        <v>20.31</v>
      </c>
      <c r="BD12" s="304">
        <f>SUM(259+50)</f>
        <v>309</v>
      </c>
      <c r="BE12" s="27"/>
      <c r="BF12" s="17"/>
      <c r="BG12" s="28"/>
      <c r="BH12" s="27"/>
      <c r="BI12" s="17"/>
      <c r="BJ12" s="28"/>
      <c r="BK12" s="27"/>
      <c r="BL12" s="17"/>
      <c r="BM12" s="28"/>
      <c r="BN12" s="27"/>
      <c r="BO12" s="17"/>
      <c r="BP12" s="28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3"/>
      <c r="CM12" s="63"/>
    </row>
    <row r="13" spans="1:91" ht="15">
      <c r="A13" s="90" t="s">
        <v>229</v>
      </c>
      <c r="B13" s="90" t="s">
        <v>230</v>
      </c>
      <c r="C13" s="90" t="s">
        <v>104</v>
      </c>
      <c r="D13" s="90"/>
      <c r="E13" s="90" t="s">
        <v>11</v>
      </c>
      <c r="F13" s="90"/>
      <c r="G13" s="90"/>
      <c r="H13" s="90"/>
      <c r="I13" s="2"/>
      <c r="J13" s="86"/>
      <c r="K13" s="57"/>
      <c r="L13" s="85"/>
      <c r="M13" s="85"/>
      <c r="N13" s="83"/>
      <c r="O13" s="84"/>
      <c r="P13" s="85"/>
      <c r="Q13" s="83"/>
      <c r="R13" s="62" t="s">
        <v>177</v>
      </c>
      <c r="S13" s="87">
        <v>17.79</v>
      </c>
      <c r="T13" s="75">
        <v>224</v>
      </c>
      <c r="U13" s="62"/>
      <c r="V13" s="3"/>
      <c r="W13" s="26"/>
      <c r="X13" s="27"/>
      <c r="Y13" s="105"/>
      <c r="Z13" s="28"/>
      <c r="AA13" s="27"/>
      <c r="AB13" s="105"/>
      <c r="AC13" s="28"/>
      <c r="AD13" s="27"/>
      <c r="AE13" s="105"/>
      <c r="AF13" s="28"/>
      <c r="AG13" s="27"/>
      <c r="AH13" s="105"/>
      <c r="AI13" s="28"/>
      <c r="AJ13" s="27"/>
      <c r="AK13" s="105"/>
      <c r="AL13" s="28"/>
      <c r="AM13" s="27"/>
      <c r="AN13" s="17"/>
      <c r="AO13" s="28"/>
      <c r="AP13" s="27"/>
      <c r="AQ13" s="17"/>
      <c r="AR13" s="28"/>
      <c r="AS13" s="27"/>
      <c r="AT13" s="17"/>
      <c r="AU13" s="106"/>
      <c r="AV13" s="82"/>
      <c r="AW13" s="82"/>
      <c r="AX13" s="28"/>
      <c r="AY13" s="27"/>
      <c r="AZ13" s="17"/>
      <c r="BA13" s="28"/>
      <c r="BB13" s="27"/>
      <c r="BC13" s="17"/>
      <c r="BD13" s="28"/>
      <c r="BE13" s="331"/>
      <c r="BF13" s="2"/>
      <c r="BG13" s="332"/>
      <c r="BH13" s="331"/>
      <c r="BI13" s="2"/>
      <c r="BJ13" s="332"/>
      <c r="BK13" s="27"/>
      <c r="BL13" s="17"/>
      <c r="BM13" s="28"/>
      <c r="BN13" s="27"/>
      <c r="BO13" s="17"/>
      <c r="BP13" s="28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3"/>
      <c r="CM13" s="63"/>
    </row>
    <row r="14" spans="1:91" ht="15">
      <c r="A14" s="90" t="s">
        <v>173</v>
      </c>
      <c r="B14" s="90" t="s">
        <v>174</v>
      </c>
      <c r="C14" s="90" t="s">
        <v>47</v>
      </c>
      <c r="D14" s="90"/>
      <c r="E14" s="90" t="s">
        <v>11</v>
      </c>
      <c r="F14" s="90"/>
      <c r="G14" s="90"/>
      <c r="H14" s="90"/>
      <c r="I14" s="2"/>
      <c r="J14" s="86"/>
      <c r="K14" s="57"/>
      <c r="L14" s="85"/>
      <c r="M14" s="85"/>
      <c r="N14" s="83"/>
      <c r="O14" s="84"/>
      <c r="P14" s="85"/>
      <c r="Q14" s="83"/>
      <c r="R14" s="62" t="s">
        <v>170</v>
      </c>
      <c r="S14" s="87">
        <v>5.75</v>
      </c>
      <c r="T14" s="88">
        <v>316</v>
      </c>
      <c r="U14" s="33"/>
      <c r="V14" s="17"/>
      <c r="W14" s="28"/>
      <c r="X14" s="27"/>
      <c r="Y14" s="105"/>
      <c r="Z14" s="28"/>
      <c r="AA14" s="27"/>
      <c r="AB14" s="105"/>
      <c r="AC14" s="28"/>
      <c r="AD14" s="27"/>
      <c r="AE14" s="105"/>
      <c r="AF14" s="28"/>
      <c r="AG14" s="27"/>
      <c r="AH14" s="105"/>
      <c r="AI14" s="28"/>
      <c r="AJ14" s="27"/>
      <c r="AK14" s="105"/>
      <c r="AL14" s="28"/>
      <c r="AM14" s="27"/>
      <c r="AN14" s="17"/>
      <c r="AO14" s="28"/>
      <c r="AP14" s="27"/>
      <c r="AQ14" s="17"/>
      <c r="AR14" s="28"/>
      <c r="AS14" s="27"/>
      <c r="AT14" s="17"/>
      <c r="AU14" s="106"/>
      <c r="AV14" s="82"/>
      <c r="AW14" s="82"/>
      <c r="AX14" s="28"/>
      <c r="AY14" s="27"/>
      <c r="AZ14" s="17"/>
      <c r="BA14" s="28"/>
      <c r="BB14" s="27"/>
      <c r="BC14" s="17"/>
      <c r="BD14" s="28"/>
      <c r="BE14" s="27"/>
      <c r="BF14" s="17"/>
      <c r="BG14" s="28"/>
      <c r="BH14" s="27"/>
      <c r="BI14" s="17"/>
      <c r="BJ14" s="28"/>
      <c r="BK14" s="27"/>
      <c r="BL14" s="17"/>
      <c r="BM14" s="28"/>
      <c r="BN14" s="27"/>
      <c r="BO14" s="17"/>
      <c r="BP14" s="28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3"/>
      <c r="CM14" s="63"/>
    </row>
    <row r="15" spans="1:91" ht="15">
      <c r="A15" s="90" t="s">
        <v>231</v>
      </c>
      <c r="B15" s="90" t="s">
        <v>232</v>
      </c>
      <c r="C15" s="90" t="s">
        <v>137</v>
      </c>
      <c r="D15" s="90"/>
      <c r="E15" s="90" t="s">
        <v>17</v>
      </c>
      <c r="F15" s="90"/>
      <c r="G15" s="90"/>
      <c r="H15" s="90"/>
      <c r="I15" s="2"/>
      <c r="J15" s="86"/>
      <c r="K15" s="57"/>
      <c r="L15" s="85"/>
      <c r="M15" s="85"/>
      <c r="N15" s="83"/>
      <c r="O15" s="84"/>
      <c r="P15" s="85"/>
      <c r="Q15" s="83"/>
      <c r="R15" s="62" t="s">
        <v>177</v>
      </c>
      <c r="S15" s="87">
        <v>14.66</v>
      </c>
      <c r="T15" s="88">
        <v>181</v>
      </c>
      <c r="U15" s="33"/>
      <c r="V15" s="17"/>
      <c r="W15" s="28"/>
      <c r="X15" s="27" t="s">
        <v>257</v>
      </c>
      <c r="Y15" s="105">
        <v>19.81</v>
      </c>
      <c r="Z15" s="28">
        <v>328</v>
      </c>
      <c r="AA15" s="27" t="s">
        <v>177</v>
      </c>
      <c r="AB15" s="105">
        <v>15.77</v>
      </c>
      <c r="AC15" s="28">
        <v>196</v>
      </c>
      <c r="AD15" s="27"/>
      <c r="AE15" s="105"/>
      <c r="AF15" s="28"/>
      <c r="AG15" s="27" t="s">
        <v>177</v>
      </c>
      <c r="AH15" s="105">
        <v>17.12</v>
      </c>
      <c r="AI15" s="28">
        <v>215</v>
      </c>
      <c r="AJ15" s="27"/>
      <c r="AK15" s="105"/>
      <c r="AL15" s="28"/>
      <c r="AM15" s="27"/>
      <c r="AN15" s="17"/>
      <c r="AO15" s="28"/>
      <c r="AP15" s="27"/>
      <c r="AQ15" s="17"/>
      <c r="AR15" s="28"/>
      <c r="AS15" s="27"/>
      <c r="AT15" s="17"/>
      <c r="AU15" s="106"/>
      <c r="AV15" s="82"/>
      <c r="AW15" s="82"/>
      <c r="AX15" s="28"/>
      <c r="AY15" s="27"/>
      <c r="AZ15" s="17"/>
      <c r="BA15" s="28"/>
      <c r="BB15" s="27"/>
      <c r="BC15" s="17"/>
      <c r="BD15" s="28"/>
      <c r="BE15" s="27"/>
      <c r="BF15" s="17"/>
      <c r="BG15" s="28"/>
      <c r="BH15" s="27"/>
      <c r="BI15" s="17"/>
      <c r="BJ15" s="28"/>
      <c r="BK15" s="27"/>
      <c r="BL15" s="17"/>
      <c r="BM15" s="28"/>
      <c r="BN15" s="27"/>
      <c r="BO15" s="17"/>
      <c r="BP15" s="28"/>
      <c r="BQ15">
        <f>COUNTA(BP15,#REF!,#REF!,#REF!,BM15,BJ15,BG15,BD15,BA15,AX15,#REF!,AR15,AO15,AL15,AI15,AF15,AC15,Z15,W15,#REF!)</f>
        <v>8</v>
      </c>
      <c r="BR15" s="65" t="e">
        <f>#REF!</f>
        <v>#REF!</v>
      </c>
      <c r="BS15" s="65">
        <f>W15</f>
        <v>0</v>
      </c>
      <c r="BT15" s="65">
        <f>Z15</f>
        <v>328</v>
      </c>
      <c r="BU15" s="65">
        <f>AC15</f>
        <v>196</v>
      </c>
      <c r="BV15" s="65">
        <f>AF15</f>
        <v>0</v>
      </c>
      <c r="BW15" s="65">
        <f>AI15</f>
        <v>215</v>
      </c>
      <c r="BX15" s="65">
        <f>AL15</f>
        <v>0</v>
      </c>
      <c r="BY15" s="65">
        <f>AO15</f>
        <v>0</v>
      </c>
      <c r="BZ15" s="65">
        <f>AR15</f>
        <v>0</v>
      </c>
      <c r="CA15" s="65" t="e">
        <f>#REF!</f>
        <v>#REF!</v>
      </c>
      <c r="CB15" s="65">
        <f>AX15</f>
        <v>0</v>
      </c>
      <c r="CC15" s="65">
        <f>BA15</f>
        <v>0</v>
      </c>
      <c r="CD15" s="65">
        <f>BD15</f>
        <v>0</v>
      </c>
      <c r="CE15" s="65">
        <f>BG15</f>
        <v>0</v>
      </c>
      <c r="CF15" s="65">
        <f>BJ15</f>
        <v>0</v>
      </c>
      <c r="CG15" s="65">
        <f>BM15</f>
        <v>0</v>
      </c>
      <c r="CH15" s="65" t="e">
        <f>#REF!</f>
        <v>#REF!</v>
      </c>
      <c r="CI15" s="65" t="e">
        <f>#REF!</f>
        <v>#REF!</v>
      </c>
      <c r="CJ15" s="65" t="e">
        <f>#REF!</f>
        <v>#REF!</v>
      </c>
      <c r="CK15" s="65">
        <f>BP15</f>
        <v>0</v>
      </c>
      <c r="CL15" s="63" t="e">
        <f>LARGE(BR15:CK15,1)</f>
        <v>#REF!</v>
      </c>
      <c r="CM15" s="63" t="e">
        <f>LARGE(BR15:CK15,2)</f>
        <v>#REF!</v>
      </c>
    </row>
    <row r="16" spans="1:91" ht="15">
      <c r="A16" s="90" t="s">
        <v>73</v>
      </c>
      <c r="B16" s="90" t="s">
        <v>74</v>
      </c>
      <c r="C16" s="90" t="s">
        <v>145</v>
      </c>
      <c r="D16" s="90"/>
      <c r="E16" s="90" t="s">
        <v>17</v>
      </c>
      <c r="F16" s="90"/>
      <c r="G16" s="90"/>
      <c r="H16" s="90"/>
      <c r="I16" s="2"/>
      <c r="J16" s="86"/>
      <c r="K16" s="57"/>
      <c r="L16" s="85" t="s">
        <v>258</v>
      </c>
      <c r="M16" s="85">
        <v>6.92</v>
      </c>
      <c r="N16" s="83">
        <v>386</v>
      </c>
      <c r="O16" s="84"/>
      <c r="P16" s="85"/>
      <c r="Q16" s="83"/>
      <c r="R16" s="62" t="s">
        <v>170</v>
      </c>
      <c r="S16" s="87">
        <v>7.26</v>
      </c>
      <c r="T16" s="88">
        <v>406</v>
      </c>
      <c r="U16" s="33"/>
      <c r="V16" s="17"/>
      <c r="W16" s="28"/>
      <c r="X16" s="27"/>
      <c r="Y16" s="105"/>
      <c r="Z16" s="28"/>
      <c r="AA16" s="27"/>
      <c r="AB16" s="105"/>
      <c r="AC16" s="28"/>
      <c r="AD16" s="27"/>
      <c r="AE16" s="105"/>
      <c r="AF16" s="28"/>
      <c r="AG16" s="27"/>
      <c r="AH16" s="105"/>
      <c r="AI16" s="28"/>
      <c r="AJ16" s="27"/>
      <c r="AK16" s="105"/>
      <c r="AL16" s="28"/>
      <c r="AM16" s="27"/>
      <c r="AN16" s="17"/>
      <c r="AO16" s="28"/>
      <c r="AP16" s="27"/>
      <c r="AQ16" s="17"/>
      <c r="AR16" s="28"/>
      <c r="AS16" s="27"/>
      <c r="AT16" s="17"/>
      <c r="AU16" s="106"/>
      <c r="AV16" s="111" t="s">
        <v>258</v>
      </c>
      <c r="AW16" s="82">
        <v>7.29</v>
      </c>
      <c r="AX16" s="28">
        <v>408</v>
      </c>
      <c r="AY16" s="27"/>
      <c r="AZ16" s="17"/>
      <c r="BA16" s="28"/>
      <c r="BB16" s="27"/>
      <c r="BC16" s="17"/>
      <c r="BD16" s="28"/>
      <c r="BE16" s="27"/>
      <c r="BF16" s="17"/>
      <c r="BG16" s="28"/>
      <c r="BH16" s="27"/>
      <c r="BI16" s="17"/>
      <c r="BJ16" s="28"/>
      <c r="BK16" s="27"/>
      <c r="BL16" s="17"/>
      <c r="BM16" s="28"/>
      <c r="BN16" s="27"/>
      <c r="BO16" s="17"/>
      <c r="BP16" s="28"/>
      <c r="BQ16">
        <f>COUNTA(BP16,#REF!,#REF!,#REF!,BM16,BJ16,BG16,BD16,BA16,AX16,#REF!,AR16,AO16,AL16,AI16,AF16,AC16,Z16,W16,#REF!)</f>
        <v>6</v>
      </c>
      <c r="BR16" s="65" t="e">
        <f>#REF!</f>
        <v>#REF!</v>
      </c>
      <c r="BS16" s="65">
        <f>W16</f>
        <v>0</v>
      </c>
      <c r="BT16" s="65">
        <f>Z16</f>
        <v>0</v>
      </c>
      <c r="BU16" s="65">
        <f>AC16</f>
        <v>0</v>
      </c>
      <c r="BV16" s="65">
        <f>AF16</f>
        <v>0</v>
      </c>
      <c r="BW16" s="65">
        <f>AI16</f>
        <v>0</v>
      </c>
      <c r="BX16" s="65">
        <f>AL16</f>
        <v>0</v>
      </c>
      <c r="BY16" s="65">
        <f>AO16</f>
        <v>0</v>
      </c>
      <c r="BZ16" s="65">
        <f>AR16</f>
        <v>0</v>
      </c>
      <c r="CA16" s="65" t="e">
        <f>#REF!</f>
        <v>#REF!</v>
      </c>
      <c r="CB16" s="65">
        <f>AX16</f>
        <v>408</v>
      </c>
      <c r="CC16" s="65">
        <f>BA16</f>
        <v>0</v>
      </c>
      <c r="CD16" s="65">
        <f>BD16</f>
        <v>0</v>
      </c>
      <c r="CE16" s="65">
        <f>BG16</f>
        <v>0</v>
      </c>
      <c r="CF16" s="65">
        <f>BJ16</f>
        <v>0</v>
      </c>
      <c r="CG16" s="65">
        <f>BM16</f>
        <v>0</v>
      </c>
      <c r="CH16" s="65" t="e">
        <f>#REF!</f>
        <v>#REF!</v>
      </c>
      <c r="CI16" s="65" t="e">
        <f>#REF!</f>
        <v>#REF!</v>
      </c>
      <c r="CJ16" s="65" t="e">
        <f>#REF!</f>
        <v>#REF!</v>
      </c>
      <c r="CK16" s="65">
        <f>BP16</f>
        <v>0</v>
      </c>
      <c r="CL16" s="63" t="e">
        <f>LARGE(BR16:CK16,1)</f>
        <v>#REF!</v>
      </c>
      <c r="CM16" s="63" t="e">
        <f>LARGE(BR16:CK16,2)</f>
        <v>#REF!</v>
      </c>
    </row>
    <row r="17" spans="1:91" ht="15">
      <c r="A17" s="90" t="s">
        <v>171</v>
      </c>
      <c r="B17" s="90" t="s">
        <v>172</v>
      </c>
      <c r="C17" s="90" t="s">
        <v>47</v>
      </c>
      <c r="D17" s="90"/>
      <c r="E17" s="90" t="s">
        <v>11</v>
      </c>
      <c r="F17" s="90"/>
      <c r="G17" s="90"/>
      <c r="H17" s="90"/>
      <c r="I17" s="2"/>
      <c r="J17" s="86"/>
      <c r="K17" s="57"/>
      <c r="L17" s="85"/>
      <c r="M17" s="85"/>
      <c r="N17" s="83"/>
      <c r="O17" s="84"/>
      <c r="P17" s="85"/>
      <c r="Q17" s="83"/>
      <c r="R17" s="33" t="s">
        <v>169</v>
      </c>
      <c r="S17" s="87">
        <v>6.23</v>
      </c>
      <c r="T17" s="88">
        <v>345</v>
      </c>
      <c r="U17" s="33"/>
      <c r="V17" s="17"/>
      <c r="W17" s="28"/>
      <c r="X17" s="27"/>
      <c r="Y17" s="105"/>
      <c r="Z17" s="28"/>
      <c r="AA17" s="27"/>
      <c r="AB17" s="105"/>
      <c r="AC17" s="28"/>
      <c r="AD17" s="27"/>
      <c r="AE17" s="105"/>
      <c r="AF17" s="28"/>
      <c r="AG17" s="27"/>
      <c r="AH17" s="105"/>
      <c r="AI17" s="28"/>
      <c r="AJ17" s="27"/>
      <c r="AK17" s="105"/>
      <c r="AL17" s="28"/>
      <c r="AM17" s="27"/>
      <c r="AN17" s="17"/>
      <c r="AO17" s="28"/>
      <c r="AP17" s="27"/>
      <c r="AQ17" s="17"/>
      <c r="AR17" s="28"/>
      <c r="AS17" s="27"/>
      <c r="AT17" s="17"/>
      <c r="AU17" s="106"/>
      <c r="AV17" s="82"/>
      <c r="AW17" s="82"/>
      <c r="AX17" s="28"/>
      <c r="AY17" s="27"/>
      <c r="AZ17" s="17"/>
      <c r="BA17" s="28"/>
      <c r="BB17" s="27"/>
      <c r="BC17" s="17"/>
      <c r="BD17" s="28"/>
      <c r="BE17" s="27"/>
      <c r="BF17" s="17"/>
      <c r="BG17" s="28"/>
      <c r="BH17" s="27"/>
      <c r="BI17" s="17"/>
      <c r="BJ17" s="28"/>
      <c r="BK17" s="27"/>
      <c r="BL17" s="17"/>
      <c r="BM17" s="28"/>
      <c r="BN17" s="27"/>
      <c r="BO17" s="17"/>
      <c r="BP17" s="28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3"/>
      <c r="CM17" s="63"/>
    </row>
    <row r="18" spans="1:91" ht="15">
      <c r="A18" s="90" t="s">
        <v>1</v>
      </c>
      <c r="B18" s="90" t="s">
        <v>43</v>
      </c>
      <c r="C18" s="90" t="s">
        <v>110</v>
      </c>
      <c r="D18" s="90"/>
      <c r="E18" s="90" t="s">
        <v>61</v>
      </c>
      <c r="F18" s="90"/>
      <c r="G18" s="90"/>
      <c r="H18" s="90"/>
      <c r="I18" s="2" t="s">
        <v>177</v>
      </c>
      <c r="J18" s="86">
        <v>27.08</v>
      </c>
      <c r="K18" s="57">
        <v>463</v>
      </c>
      <c r="L18" s="85" t="s">
        <v>258</v>
      </c>
      <c r="M18" s="85">
        <v>7.85</v>
      </c>
      <c r="N18" s="83">
        <v>441</v>
      </c>
      <c r="O18" s="84"/>
      <c r="P18" s="85"/>
      <c r="Q18" s="83"/>
      <c r="R18" s="33" t="s">
        <v>177</v>
      </c>
      <c r="S18" s="87">
        <v>30.8</v>
      </c>
      <c r="T18" s="88">
        <v>530</v>
      </c>
      <c r="U18" s="33"/>
      <c r="V18" s="17"/>
      <c r="W18" s="28"/>
      <c r="X18" s="27" t="s">
        <v>177</v>
      </c>
      <c r="Y18" s="105">
        <v>29</v>
      </c>
      <c r="Z18" s="28">
        <v>497</v>
      </c>
      <c r="AA18" s="27"/>
      <c r="AB18" s="105"/>
      <c r="AC18" s="28"/>
      <c r="AD18" s="27"/>
      <c r="AE18" s="105"/>
      <c r="AF18" s="28"/>
      <c r="AG18" s="27"/>
      <c r="AH18" s="105"/>
      <c r="AI18" s="28"/>
      <c r="AJ18" s="27"/>
      <c r="AK18" s="105"/>
      <c r="AL18" s="28"/>
      <c r="AM18" s="27"/>
      <c r="AN18" s="17"/>
      <c r="AO18" s="28"/>
      <c r="AP18" s="27"/>
      <c r="AQ18" s="17"/>
      <c r="AR18" s="28"/>
      <c r="AS18" s="27"/>
      <c r="AT18" s="17"/>
      <c r="AU18" s="106"/>
      <c r="AV18" s="82"/>
      <c r="AW18" s="82"/>
      <c r="AX18" s="28"/>
      <c r="AY18" s="27"/>
      <c r="AZ18" s="17"/>
      <c r="BA18" s="28"/>
      <c r="BB18" s="27"/>
      <c r="BC18" s="17"/>
      <c r="BD18" s="28"/>
      <c r="BE18" s="27"/>
      <c r="BF18" s="17"/>
      <c r="BG18" s="28"/>
      <c r="BH18" s="27"/>
      <c r="BI18" s="17"/>
      <c r="BJ18" s="28"/>
      <c r="BK18" s="27"/>
      <c r="BL18" s="17"/>
      <c r="BM18" s="28"/>
      <c r="BN18" s="27"/>
      <c r="BO18" s="17"/>
      <c r="BP18" s="28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3"/>
      <c r="CM18" s="63"/>
    </row>
    <row r="19" spans="1:91" ht="15">
      <c r="A19" s="90" t="s">
        <v>14</v>
      </c>
      <c r="B19" s="90" t="s">
        <v>67</v>
      </c>
      <c r="C19" s="90" t="s">
        <v>47</v>
      </c>
      <c r="D19" s="90"/>
      <c r="E19" s="90" t="s">
        <v>11</v>
      </c>
      <c r="F19" s="90"/>
      <c r="G19" s="90"/>
      <c r="H19" s="90"/>
      <c r="I19" s="2">
        <v>500</v>
      </c>
      <c r="J19" s="86">
        <v>20.66</v>
      </c>
      <c r="K19" s="57">
        <v>348</v>
      </c>
      <c r="L19" s="85" t="s">
        <v>258</v>
      </c>
      <c r="M19" s="85">
        <v>9.84</v>
      </c>
      <c r="N19" s="83">
        <v>561</v>
      </c>
      <c r="O19" s="84"/>
      <c r="P19" s="85"/>
      <c r="Q19" s="83"/>
      <c r="R19" s="33" t="s">
        <v>169</v>
      </c>
      <c r="S19" s="87">
        <v>9.59</v>
      </c>
      <c r="T19" s="88">
        <v>546</v>
      </c>
      <c r="U19" s="33"/>
      <c r="V19" s="17"/>
      <c r="W19" s="28"/>
      <c r="X19" s="27"/>
      <c r="Y19" s="105"/>
      <c r="Z19" s="28"/>
      <c r="AA19" s="27"/>
      <c r="AB19" s="105"/>
      <c r="AC19" s="28"/>
      <c r="AD19" s="27" t="s">
        <v>258</v>
      </c>
      <c r="AE19" s="105">
        <v>9.97</v>
      </c>
      <c r="AF19" s="28">
        <v>569</v>
      </c>
      <c r="AG19" s="27"/>
      <c r="AH19" s="105"/>
      <c r="AI19" s="28"/>
      <c r="AJ19" s="27"/>
      <c r="AK19" s="105"/>
      <c r="AL19" s="28"/>
      <c r="AM19" s="27"/>
      <c r="AN19" s="17"/>
      <c r="AO19" s="28"/>
      <c r="AP19" s="27"/>
      <c r="AQ19" s="17"/>
      <c r="AR19" s="28"/>
      <c r="AS19" s="27"/>
      <c r="AT19" s="17"/>
      <c r="AU19" s="106"/>
      <c r="AV19" s="111" t="s">
        <v>258</v>
      </c>
      <c r="AW19" s="82">
        <v>11.11</v>
      </c>
      <c r="AX19" s="28">
        <v>637</v>
      </c>
      <c r="AY19" s="27"/>
      <c r="AZ19" s="17"/>
      <c r="BA19" s="28"/>
      <c r="BB19" s="27"/>
      <c r="BC19" s="17"/>
      <c r="BD19" s="28"/>
      <c r="BE19" s="27"/>
      <c r="BF19" s="17"/>
      <c r="BG19" s="28"/>
      <c r="BH19" s="27"/>
      <c r="BI19" s="17"/>
      <c r="BJ19" s="28"/>
      <c r="BK19" s="27"/>
      <c r="BL19" s="17"/>
      <c r="BM19" s="28"/>
      <c r="BN19" s="27"/>
      <c r="BO19" s="17"/>
      <c r="BP19" s="28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3"/>
      <c r="CM19" s="63"/>
    </row>
    <row r="20" spans="1:91" ht="15">
      <c r="A20" s="90" t="s">
        <v>224</v>
      </c>
      <c r="B20" s="90" t="s">
        <v>214</v>
      </c>
      <c r="C20" s="90" t="s">
        <v>42</v>
      </c>
      <c r="D20" s="90"/>
      <c r="E20" s="90" t="s">
        <v>11</v>
      </c>
      <c r="F20" s="90"/>
      <c r="G20" s="90"/>
      <c r="H20" s="90"/>
      <c r="I20" s="2"/>
      <c r="J20" s="86"/>
      <c r="K20" s="57"/>
      <c r="L20" s="85"/>
      <c r="M20" s="85"/>
      <c r="N20" s="83"/>
      <c r="O20" s="84"/>
      <c r="P20" s="85"/>
      <c r="Q20" s="83"/>
      <c r="R20" s="33" t="s">
        <v>177</v>
      </c>
      <c r="S20" s="87">
        <v>17.2</v>
      </c>
      <c r="T20" s="88"/>
      <c r="U20" s="33"/>
      <c r="V20" s="17"/>
      <c r="W20" s="28"/>
      <c r="X20" s="27"/>
      <c r="Y20" s="105"/>
      <c r="Z20" s="28"/>
      <c r="AA20" s="27"/>
      <c r="AB20" s="105"/>
      <c r="AC20" s="28"/>
      <c r="AD20" s="27"/>
      <c r="AE20" s="105"/>
      <c r="AF20" s="28"/>
      <c r="AG20" s="27"/>
      <c r="AH20" s="105"/>
      <c r="AI20" s="28"/>
      <c r="AJ20" s="27"/>
      <c r="AK20" s="105"/>
      <c r="AL20" s="28"/>
      <c r="AM20" s="27"/>
      <c r="AN20" s="17"/>
      <c r="AO20" s="28"/>
      <c r="AP20" s="27"/>
      <c r="AQ20" s="17"/>
      <c r="AR20" s="28"/>
      <c r="AS20" s="27"/>
      <c r="AT20" s="17"/>
      <c r="AU20" s="106"/>
      <c r="AV20" s="82"/>
      <c r="AW20" s="82"/>
      <c r="AX20" s="28"/>
      <c r="AY20" s="27"/>
      <c r="AZ20" s="17"/>
      <c r="BA20" s="28"/>
      <c r="BB20" s="27"/>
      <c r="BC20" s="17"/>
      <c r="BD20" s="28"/>
      <c r="BE20" s="27"/>
      <c r="BF20" s="17"/>
      <c r="BG20" s="28"/>
      <c r="BH20" s="27"/>
      <c r="BI20" s="17"/>
      <c r="BJ20" s="28"/>
      <c r="BK20" s="27"/>
      <c r="BL20" s="17"/>
      <c r="BM20" s="28"/>
      <c r="BN20" s="27"/>
      <c r="BO20" s="17"/>
      <c r="BP20" s="28"/>
      <c r="BQ20">
        <f>COUNTA(BP20,#REF!,#REF!,#REF!,BM20,BJ20,BG20,BD20,BA20,AX20,#REF!,AR20,AO20,AL20,AI20,AF20,AC20,Z20,W20,#REF!)</f>
        <v>5</v>
      </c>
      <c r="BR20" s="65" t="e">
        <f>#REF!</f>
        <v>#REF!</v>
      </c>
      <c r="BS20" s="65">
        <f>W20</f>
        <v>0</v>
      </c>
      <c r="BT20" s="65">
        <f>Z20</f>
        <v>0</v>
      </c>
      <c r="BU20" s="65">
        <f>AC20</f>
        <v>0</v>
      </c>
      <c r="BV20" s="65">
        <f>AF20</f>
        <v>0</v>
      </c>
      <c r="BW20" s="65">
        <f>AI20</f>
        <v>0</v>
      </c>
      <c r="BX20" s="65">
        <f>AL20</f>
        <v>0</v>
      </c>
      <c r="BY20" s="65">
        <f>AO20</f>
        <v>0</v>
      </c>
      <c r="BZ20" s="65">
        <f>AR20</f>
        <v>0</v>
      </c>
      <c r="CA20" s="65" t="e">
        <f>#REF!</f>
        <v>#REF!</v>
      </c>
      <c r="CB20" s="65">
        <f>AX20</f>
        <v>0</v>
      </c>
      <c r="CC20" s="65">
        <f>BA20</f>
        <v>0</v>
      </c>
      <c r="CD20" s="65">
        <f>BD20</f>
        <v>0</v>
      </c>
      <c r="CE20" s="65">
        <f>BG20</f>
        <v>0</v>
      </c>
      <c r="CF20" s="65">
        <f>BJ20</f>
        <v>0</v>
      </c>
      <c r="CG20" s="65">
        <f>BM20</f>
        <v>0</v>
      </c>
      <c r="CH20" s="65" t="e">
        <f>#REF!</f>
        <v>#REF!</v>
      </c>
      <c r="CI20" s="65" t="e">
        <f>#REF!</f>
        <v>#REF!</v>
      </c>
      <c r="CJ20" s="65" t="e">
        <f>#REF!</f>
        <v>#REF!</v>
      </c>
      <c r="CK20" s="65">
        <f>BP20</f>
        <v>0</v>
      </c>
      <c r="CL20" s="63" t="e">
        <f>LARGE(BR20:CK20,1)</f>
        <v>#REF!</v>
      </c>
      <c r="CM20" s="63" t="e">
        <f>LARGE(BR20:CK20,2)</f>
        <v>#REF!</v>
      </c>
    </row>
    <row r="21" spans="1:91" ht="15">
      <c r="A21" s="90" t="s">
        <v>186</v>
      </c>
      <c r="B21" s="90" t="s">
        <v>187</v>
      </c>
      <c r="C21" s="90" t="s">
        <v>38</v>
      </c>
      <c r="D21" s="90"/>
      <c r="E21" s="90" t="s">
        <v>69</v>
      </c>
      <c r="F21" s="90"/>
      <c r="G21" s="90"/>
      <c r="H21" s="90"/>
      <c r="I21" s="2"/>
      <c r="J21" s="86"/>
      <c r="K21" s="57"/>
      <c r="L21" s="85"/>
      <c r="M21" s="85"/>
      <c r="N21" s="83"/>
      <c r="O21" s="84"/>
      <c r="P21" s="85"/>
      <c r="Q21" s="83"/>
      <c r="R21" s="33" t="s">
        <v>170</v>
      </c>
      <c r="S21" s="87">
        <v>7.42</v>
      </c>
      <c r="T21" s="88">
        <v>416</v>
      </c>
      <c r="U21" s="33"/>
      <c r="V21" s="17"/>
      <c r="W21" s="28"/>
      <c r="X21" s="27"/>
      <c r="Y21" s="105"/>
      <c r="Z21" s="28"/>
      <c r="AA21" s="27"/>
      <c r="AB21" s="105"/>
      <c r="AC21" s="28"/>
      <c r="AD21" s="27"/>
      <c r="AE21" s="105"/>
      <c r="AF21" s="28"/>
      <c r="AG21" s="27"/>
      <c r="AH21" s="105"/>
      <c r="AI21" s="28"/>
      <c r="AJ21" s="27"/>
      <c r="AK21" s="105"/>
      <c r="AL21" s="28"/>
      <c r="AM21" s="27"/>
      <c r="AN21" s="17"/>
      <c r="AO21" s="28"/>
      <c r="AP21" s="27"/>
      <c r="AQ21" s="17"/>
      <c r="AR21" s="28"/>
      <c r="AS21" s="27"/>
      <c r="AT21" s="17"/>
      <c r="AU21" s="106"/>
      <c r="AV21" s="82"/>
      <c r="AW21" s="82"/>
      <c r="AX21" s="28"/>
      <c r="AY21" s="27"/>
      <c r="AZ21" s="17"/>
      <c r="BA21" s="28"/>
      <c r="BB21" s="27"/>
      <c r="BC21" s="17"/>
      <c r="BD21" s="28"/>
      <c r="BE21" s="27"/>
      <c r="BF21" s="17"/>
      <c r="BG21" s="28"/>
      <c r="BH21" s="27"/>
      <c r="BI21" s="17"/>
      <c r="BJ21" s="28"/>
      <c r="BK21" s="27"/>
      <c r="BL21" s="17"/>
      <c r="BM21" s="28"/>
      <c r="BN21" s="27"/>
      <c r="BO21" s="17"/>
      <c r="BP21" s="28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3"/>
      <c r="CM21" s="63"/>
    </row>
    <row r="22" spans="1:91" ht="15">
      <c r="A22" s="90" t="s">
        <v>50</v>
      </c>
      <c r="B22" s="90" t="s">
        <v>51</v>
      </c>
      <c r="C22" s="90" t="s">
        <v>145</v>
      </c>
      <c r="D22" s="90"/>
      <c r="E22" s="90" t="s">
        <v>69</v>
      </c>
      <c r="F22" s="90"/>
      <c r="G22" s="90"/>
      <c r="H22" s="90"/>
      <c r="I22" s="2"/>
      <c r="J22" s="86"/>
      <c r="K22" s="57"/>
      <c r="L22" s="85" t="s">
        <v>258</v>
      </c>
      <c r="M22" s="85">
        <v>6.23</v>
      </c>
      <c r="N22" s="83">
        <v>345</v>
      </c>
      <c r="O22" s="84"/>
      <c r="P22" s="85"/>
      <c r="Q22" s="83"/>
      <c r="R22" s="33" t="s">
        <v>170</v>
      </c>
      <c r="S22" s="87">
        <v>5.84</v>
      </c>
      <c r="T22" s="88">
        <v>321</v>
      </c>
      <c r="U22" s="33"/>
      <c r="V22" s="17"/>
      <c r="W22" s="28"/>
      <c r="X22" s="27"/>
      <c r="Y22" s="105"/>
      <c r="Z22" s="28"/>
      <c r="AA22" s="27"/>
      <c r="AB22" s="105"/>
      <c r="AC22" s="28"/>
      <c r="AD22" s="27"/>
      <c r="AE22" s="105"/>
      <c r="AF22" s="28"/>
      <c r="AG22" s="27" t="s">
        <v>170</v>
      </c>
      <c r="AH22" s="105">
        <v>6.08</v>
      </c>
      <c r="AI22" s="28">
        <v>336</v>
      </c>
      <c r="AJ22" s="27" t="s">
        <v>177</v>
      </c>
      <c r="AK22" s="105">
        <v>11.58</v>
      </c>
      <c r="AL22" s="28">
        <v>188</v>
      </c>
      <c r="AM22" s="27"/>
      <c r="AN22" s="17"/>
      <c r="AO22" s="28"/>
      <c r="AP22" s="27"/>
      <c r="AQ22" s="17"/>
      <c r="AR22" s="28"/>
      <c r="AS22" s="27"/>
      <c r="AT22" s="17"/>
      <c r="AU22" s="106"/>
      <c r="AV22" s="82"/>
      <c r="AW22" s="82"/>
      <c r="AX22" s="28"/>
      <c r="AY22" s="27"/>
      <c r="AZ22" s="17"/>
      <c r="BA22" s="28"/>
      <c r="BB22" s="27"/>
      <c r="BC22" s="17"/>
      <c r="BD22" s="28"/>
      <c r="BE22" s="27"/>
      <c r="BF22" s="17"/>
      <c r="BG22" s="28"/>
      <c r="BH22" s="27"/>
      <c r="BI22" s="17"/>
      <c r="BJ22" s="28"/>
      <c r="BK22" s="27"/>
      <c r="BL22" s="17"/>
      <c r="BM22" s="28"/>
      <c r="BN22" s="27"/>
      <c r="BO22" s="17"/>
      <c r="BP22" s="28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3"/>
      <c r="CM22" s="63"/>
    </row>
    <row r="23" spans="1:91" ht="15">
      <c r="A23" s="90" t="s">
        <v>226</v>
      </c>
      <c r="B23" s="90" t="s">
        <v>183</v>
      </c>
      <c r="C23" s="90" t="s">
        <v>59</v>
      </c>
      <c r="D23" s="90"/>
      <c r="E23" s="90" t="s">
        <v>17</v>
      </c>
      <c r="F23" s="90"/>
      <c r="G23" s="90"/>
      <c r="H23" s="90"/>
      <c r="I23" s="2"/>
      <c r="J23" s="86"/>
      <c r="K23" s="57"/>
      <c r="L23" s="85"/>
      <c r="M23" s="85"/>
      <c r="N23" s="83"/>
      <c r="O23" s="84"/>
      <c r="P23" s="85"/>
      <c r="Q23" s="83"/>
      <c r="R23" s="62" t="s">
        <v>170</v>
      </c>
      <c r="S23" s="87">
        <v>8.63</v>
      </c>
      <c r="T23" s="75">
        <v>448</v>
      </c>
      <c r="U23" s="62"/>
      <c r="V23" s="3"/>
      <c r="W23" s="26"/>
      <c r="X23" s="25"/>
      <c r="Y23" s="87"/>
      <c r="Z23" s="26"/>
      <c r="AA23" s="27"/>
      <c r="AB23" s="105"/>
      <c r="AC23" s="28"/>
      <c r="AD23" s="27"/>
      <c r="AE23" s="105"/>
      <c r="AF23" s="28"/>
      <c r="AG23" s="27"/>
      <c r="AH23" s="105"/>
      <c r="AI23" s="28"/>
      <c r="AJ23" s="27"/>
      <c r="AK23" s="105"/>
      <c r="AL23" s="28"/>
      <c r="AM23" s="27"/>
      <c r="AN23" s="17"/>
      <c r="AO23" s="28"/>
      <c r="AP23" s="27"/>
      <c r="AQ23" s="17"/>
      <c r="AR23" s="28"/>
      <c r="AS23" s="27"/>
      <c r="AT23" s="17"/>
      <c r="AU23" s="106"/>
      <c r="AV23" s="82"/>
      <c r="AW23" s="82"/>
      <c r="AX23" s="28"/>
      <c r="AY23" s="27"/>
      <c r="AZ23" s="17"/>
      <c r="BA23" s="28"/>
      <c r="BB23" s="27"/>
      <c r="BC23" s="17"/>
      <c r="BD23" s="28"/>
      <c r="BE23" s="27"/>
      <c r="BF23" s="17"/>
      <c r="BG23" s="28"/>
      <c r="BH23" s="27"/>
      <c r="BI23" s="17"/>
      <c r="BJ23" s="28"/>
      <c r="BK23" s="27"/>
      <c r="BL23" s="17"/>
      <c r="BM23" s="329">
        <v>660</v>
      </c>
      <c r="BN23" s="27"/>
      <c r="BO23" s="17"/>
      <c r="BP23" s="28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3"/>
      <c r="CM23" s="63"/>
    </row>
    <row r="24" spans="1:91" ht="15">
      <c r="A24" s="90" t="s">
        <v>132</v>
      </c>
      <c r="B24" s="90" t="s">
        <v>304</v>
      </c>
      <c r="C24" s="90" t="s">
        <v>137</v>
      </c>
      <c r="D24" s="90"/>
      <c r="E24" s="90" t="s">
        <v>87</v>
      </c>
      <c r="F24" s="90"/>
      <c r="G24" s="90"/>
      <c r="H24" s="90"/>
      <c r="I24" s="2" t="s">
        <v>257</v>
      </c>
      <c r="J24" s="86">
        <v>22.61</v>
      </c>
      <c r="K24" s="57">
        <v>379</v>
      </c>
      <c r="L24" s="85"/>
      <c r="M24" s="85"/>
      <c r="N24" s="83"/>
      <c r="O24" s="84"/>
      <c r="P24" s="85"/>
      <c r="Q24" s="83"/>
      <c r="R24" s="62"/>
      <c r="S24" s="87"/>
      <c r="T24" s="75"/>
      <c r="U24" s="62"/>
      <c r="V24" s="3"/>
      <c r="W24" s="26"/>
      <c r="X24" s="25"/>
      <c r="Y24" s="87"/>
      <c r="Z24" s="26"/>
      <c r="AA24" s="27"/>
      <c r="AB24" s="105"/>
      <c r="AC24" s="28"/>
      <c r="AD24" s="27"/>
      <c r="AE24" s="105"/>
      <c r="AF24" s="28"/>
      <c r="AG24" s="27"/>
      <c r="AH24" s="105"/>
      <c r="AI24" s="28"/>
      <c r="AJ24" s="27"/>
      <c r="AK24" s="105"/>
      <c r="AL24" s="28"/>
      <c r="AM24" s="27"/>
      <c r="AN24" s="17"/>
      <c r="AO24" s="28"/>
      <c r="AP24" s="27"/>
      <c r="AQ24" s="17"/>
      <c r="AR24" s="28"/>
      <c r="AS24" s="27"/>
      <c r="AT24" s="17"/>
      <c r="AU24" s="106"/>
      <c r="AV24" s="82"/>
      <c r="AW24" s="82"/>
      <c r="AX24" s="28"/>
      <c r="AY24" s="27"/>
      <c r="AZ24" s="17"/>
      <c r="BA24" s="28"/>
      <c r="BB24" s="27"/>
      <c r="BC24" s="17"/>
      <c r="BD24" s="28"/>
      <c r="BE24" s="27"/>
      <c r="BF24" s="17"/>
      <c r="BG24" s="28"/>
      <c r="BH24" s="27"/>
      <c r="BI24" s="17"/>
      <c r="BJ24" s="28"/>
      <c r="BK24" s="27"/>
      <c r="BL24" s="17"/>
      <c r="BM24" s="28"/>
      <c r="BN24" s="27"/>
      <c r="BO24" s="17"/>
      <c r="BP24" s="28"/>
      <c r="BQ24">
        <f>COUNTA(BP24,#REF!,#REF!,#REF!,BM24,BJ24,BG24,BD24,BA24,AX24,#REF!,AR24,AO24,AL24,AI24,AF24,AC24,Z24,W24,#REF!)</f>
        <v>5</v>
      </c>
      <c r="BR24" s="65" t="e">
        <f>#REF!</f>
        <v>#REF!</v>
      </c>
      <c r="BS24" s="65">
        <f>W24</f>
        <v>0</v>
      </c>
      <c r="BT24" s="65">
        <f>Z24</f>
        <v>0</v>
      </c>
      <c r="BU24" s="65">
        <f>AC24</f>
        <v>0</v>
      </c>
      <c r="BV24" s="65">
        <f>AF24</f>
        <v>0</v>
      </c>
      <c r="BW24" s="65">
        <f>AI24</f>
        <v>0</v>
      </c>
      <c r="BX24" s="65">
        <f>AL24</f>
        <v>0</v>
      </c>
      <c r="BY24" s="65">
        <f>AO24</f>
        <v>0</v>
      </c>
      <c r="BZ24" s="65">
        <f>AR24</f>
        <v>0</v>
      </c>
      <c r="CA24" s="65" t="e">
        <f>#REF!</f>
        <v>#REF!</v>
      </c>
      <c r="CB24" s="65">
        <f>AX24</f>
        <v>0</v>
      </c>
      <c r="CC24" s="65">
        <f>BA24</f>
        <v>0</v>
      </c>
      <c r="CD24" s="65">
        <f>BD24</f>
        <v>0</v>
      </c>
      <c r="CE24" s="65">
        <f>BG24</f>
        <v>0</v>
      </c>
      <c r="CF24" s="65">
        <f>BJ24</f>
        <v>0</v>
      </c>
      <c r="CG24" s="65">
        <f>BM24</f>
        <v>0</v>
      </c>
      <c r="CH24" s="65" t="e">
        <f>#REF!</f>
        <v>#REF!</v>
      </c>
      <c r="CI24" s="65" t="e">
        <f>#REF!</f>
        <v>#REF!</v>
      </c>
      <c r="CJ24" s="65" t="e">
        <f>#REF!</f>
        <v>#REF!</v>
      </c>
      <c r="CK24" s="65">
        <f>BP24</f>
        <v>0</v>
      </c>
      <c r="CL24" s="63" t="e">
        <f>LARGE(BR24:CK24,1)</f>
        <v>#REF!</v>
      </c>
      <c r="CM24" s="63" t="e">
        <f>LARGE(BR24:CK24,2)</f>
        <v>#REF!</v>
      </c>
    </row>
    <row r="25" spans="1:91" ht="15">
      <c r="A25" s="90" t="s">
        <v>305</v>
      </c>
      <c r="B25" s="90" t="s">
        <v>306</v>
      </c>
      <c r="C25" s="90" t="s">
        <v>104</v>
      </c>
      <c r="D25" s="90"/>
      <c r="E25" s="90" t="s">
        <v>11</v>
      </c>
      <c r="F25" s="90"/>
      <c r="G25" s="90"/>
      <c r="H25" s="90"/>
      <c r="I25" s="2"/>
      <c r="J25" s="86"/>
      <c r="K25" s="57"/>
      <c r="L25" s="85" t="s">
        <v>177</v>
      </c>
      <c r="M25" s="85">
        <v>46.52</v>
      </c>
      <c r="N25" s="83">
        <v>623</v>
      </c>
      <c r="O25" s="84"/>
      <c r="P25" s="85"/>
      <c r="Q25" s="83"/>
      <c r="R25" s="62"/>
      <c r="S25" s="87"/>
      <c r="T25" s="75"/>
      <c r="U25" s="62"/>
      <c r="V25" s="3"/>
      <c r="W25" s="26"/>
      <c r="X25" s="25"/>
      <c r="Y25" s="87"/>
      <c r="Z25" s="26"/>
      <c r="AA25" s="27"/>
      <c r="AB25" s="105"/>
      <c r="AC25" s="28"/>
      <c r="AD25" s="27"/>
      <c r="AE25" s="105"/>
      <c r="AF25" s="28"/>
      <c r="AG25" s="27"/>
      <c r="AH25" s="105"/>
      <c r="AI25" s="28"/>
      <c r="AJ25" s="27"/>
      <c r="AK25" s="105"/>
      <c r="AL25" s="28"/>
      <c r="AM25" s="27"/>
      <c r="AN25" s="17"/>
      <c r="AO25" s="28"/>
      <c r="AP25" s="27"/>
      <c r="AQ25" s="17"/>
      <c r="AR25" s="28"/>
      <c r="AS25" s="27"/>
      <c r="AT25" s="17"/>
      <c r="AU25" s="106"/>
      <c r="AV25" s="82"/>
      <c r="AW25" s="82"/>
      <c r="AX25" s="28"/>
      <c r="AY25" s="27"/>
      <c r="AZ25" s="17"/>
      <c r="BA25" s="28"/>
      <c r="BB25" s="27"/>
      <c r="BC25" s="17"/>
      <c r="BD25" s="28"/>
      <c r="BE25" s="27"/>
      <c r="BF25" s="17"/>
      <c r="BG25" s="28"/>
      <c r="BH25" s="27"/>
      <c r="BI25" s="17"/>
      <c r="BJ25" s="28"/>
      <c r="BK25" s="27"/>
      <c r="BL25" s="17"/>
      <c r="BM25" s="28"/>
      <c r="BN25" s="27"/>
      <c r="BO25" s="17"/>
      <c r="BP25" s="28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3"/>
      <c r="CM25" s="63"/>
    </row>
    <row r="26" spans="1:91" ht="15">
      <c r="A26" s="90" t="s">
        <v>13</v>
      </c>
      <c r="B26" s="90" t="s">
        <v>48</v>
      </c>
      <c r="C26" s="90" t="s">
        <v>47</v>
      </c>
      <c r="D26" s="90"/>
      <c r="E26" s="90" t="s">
        <v>11</v>
      </c>
      <c r="F26" s="90"/>
      <c r="G26" s="90"/>
      <c r="H26" s="90"/>
      <c r="I26" s="2"/>
      <c r="J26" s="86"/>
      <c r="K26" s="57"/>
      <c r="L26" s="85" t="s">
        <v>258</v>
      </c>
      <c r="M26" s="85">
        <v>8.94</v>
      </c>
      <c r="N26" s="83">
        <v>507</v>
      </c>
      <c r="O26" s="84" t="s">
        <v>257</v>
      </c>
      <c r="P26" s="85">
        <v>25.08</v>
      </c>
      <c r="Q26" s="83">
        <v>433</v>
      </c>
      <c r="R26" s="33" t="s">
        <v>170</v>
      </c>
      <c r="S26" s="87">
        <v>9.16</v>
      </c>
      <c r="T26" s="75">
        <v>520</v>
      </c>
      <c r="U26" s="62"/>
      <c r="V26" s="3"/>
      <c r="W26" s="26"/>
      <c r="X26" s="25"/>
      <c r="Y26" s="87"/>
      <c r="Z26" s="26"/>
      <c r="AA26" s="27"/>
      <c r="AB26" s="105"/>
      <c r="AC26" s="28"/>
      <c r="AD26" s="27"/>
      <c r="AE26" s="105"/>
      <c r="AF26" s="28"/>
      <c r="AG26" s="27"/>
      <c r="AH26" s="105"/>
      <c r="AI26" s="28"/>
      <c r="AJ26" s="27"/>
      <c r="AK26" s="105"/>
      <c r="AL26" s="28"/>
      <c r="AM26" s="27"/>
      <c r="AN26" s="17"/>
      <c r="AO26" s="28"/>
      <c r="AP26" s="27"/>
      <c r="AQ26" s="17"/>
      <c r="AR26" s="28"/>
      <c r="AS26" s="27"/>
      <c r="AT26" s="17"/>
      <c r="AU26" s="106"/>
      <c r="AV26" s="111" t="s">
        <v>258</v>
      </c>
      <c r="AW26" s="82">
        <v>9.19</v>
      </c>
      <c r="AX26" s="28">
        <v>522</v>
      </c>
      <c r="AY26" s="27"/>
      <c r="AZ26" s="17"/>
      <c r="BA26" s="28"/>
      <c r="BB26" s="27"/>
      <c r="BC26" s="17"/>
      <c r="BD26" s="28"/>
      <c r="BE26" s="27"/>
      <c r="BF26" s="17"/>
      <c r="BG26" s="28"/>
      <c r="BH26" s="27"/>
      <c r="BI26" s="17"/>
      <c r="BJ26" s="28"/>
      <c r="BK26" s="27"/>
      <c r="BL26" s="17"/>
      <c r="BM26" s="28"/>
      <c r="BN26" s="27"/>
      <c r="BO26" s="17"/>
      <c r="BP26" s="28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3"/>
      <c r="CM26" s="63"/>
    </row>
    <row r="27" spans="1:91" ht="15">
      <c r="A27" s="90" t="s">
        <v>235</v>
      </c>
      <c r="B27" s="90" t="s">
        <v>121</v>
      </c>
      <c r="C27" s="90" t="s">
        <v>137</v>
      </c>
      <c r="D27" s="90"/>
      <c r="E27" s="90" t="s">
        <v>61</v>
      </c>
      <c r="F27" s="90"/>
      <c r="G27" s="90"/>
      <c r="H27" s="90"/>
      <c r="I27" s="2"/>
      <c r="J27" s="86"/>
      <c r="K27" s="57"/>
      <c r="L27" s="85"/>
      <c r="M27" s="85"/>
      <c r="N27" s="83"/>
      <c r="O27" s="84"/>
      <c r="P27" s="85"/>
      <c r="Q27" s="83"/>
      <c r="R27" s="33" t="s">
        <v>170</v>
      </c>
      <c r="S27" s="87">
        <v>10.32</v>
      </c>
      <c r="T27" s="75">
        <v>547</v>
      </c>
      <c r="U27" s="62"/>
      <c r="V27" s="3"/>
      <c r="W27" s="26"/>
      <c r="X27" s="25" t="s">
        <v>339</v>
      </c>
      <c r="Y27" s="87">
        <v>27.8</v>
      </c>
      <c r="Z27" s="26">
        <v>473</v>
      </c>
      <c r="AA27" s="27"/>
      <c r="AB27" s="105"/>
      <c r="AC27" s="28"/>
      <c r="AD27" s="27" t="s">
        <v>327</v>
      </c>
      <c r="AE27" s="105">
        <v>29.23</v>
      </c>
      <c r="AF27" s="28">
        <v>499</v>
      </c>
      <c r="AG27" s="27"/>
      <c r="AH27" s="105"/>
      <c r="AI27" s="28"/>
      <c r="AJ27" s="27"/>
      <c r="AK27" s="105"/>
      <c r="AL27" s="28"/>
      <c r="AM27" s="27"/>
      <c r="AN27" s="17"/>
      <c r="AO27" s="28"/>
      <c r="AP27" s="27"/>
      <c r="AQ27" s="17"/>
      <c r="AR27" s="28"/>
      <c r="AS27" s="27"/>
      <c r="AT27" s="17"/>
      <c r="AU27" s="106"/>
      <c r="AV27" s="111" t="s">
        <v>258</v>
      </c>
      <c r="AW27" s="82">
        <v>9.6</v>
      </c>
      <c r="AX27" s="28">
        <v>505</v>
      </c>
      <c r="AY27" s="27" t="s">
        <v>327</v>
      </c>
      <c r="AZ27" s="17">
        <v>28.26</v>
      </c>
      <c r="BA27" s="28">
        <v>481</v>
      </c>
      <c r="BB27" s="27"/>
      <c r="BC27" s="17"/>
      <c r="BD27" s="28"/>
      <c r="BE27" s="27"/>
      <c r="BF27" s="17"/>
      <c r="BG27" s="28"/>
      <c r="BH27" s="27"/>
      <c r="BI27" s="17"/>
      <c r="BJ27" s="28"/>
      <c r="BK27" s="27"/>
      <c r="BL27" s="17"/>
      <c r="BM27" s="28"/>
      <c r="BN27" s="27"/>
      <c r="BO27" s="17"/>
      <c r="BP27" s="28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3"/>
      <c r="CM27" s="63"/>
    </row>
    <row r="28" spans="1:91" ht="15">
      <c r="A28" s="90" t="s">
        <v>21</v>
      </c>
      <c r="B28" s="90" t="s">
        <v>88</v>
      </c>
      <c r="C28" s="90" t="s">
        <v>137</v>
      </c>
      <c r="D28" s="90"/>
      <c r="E28" s="90" t="s">
        <v>89</v>
      </c>
      <c r="F28" s="90"/>
      <c r="G28" s="90"/>
      <c r="H28" s="90"/>
      <c r="I28" s="2" t="s">
        <v>257</v>
      </c>
      <c r="J28" s="86">
        <v>31.35</v>
      </c>
      <c r="K28" s="57">
        <v>537</v>
      </c>
      <c r="L28" s="85"/>
      <c r="M28" s="85"/>
      <c r="N28" s="83"/>
      <c r="O28" s="84"/>
      <c r="P28" s="85"/>
      <c r="Q28" s="83"/>
      <c r="R28" s="33"/>
      <c r="S28" s="87"/>
      <c r="T28" s="75"/>
      <c r="U28" s="62"/>
      <c r="V28" s="3"/>
      <c r="W28" s="26"/>
      <c r="X28" s="25" t="s">
        <v>177</v>
      </c>
      <c r="Y28" s="87">
        <v>29</v>
      </c>
      <c r="Z28" s="26">
        <v>257</v>
      </c>
      <c r="AA28" s="27"/>
      <c r="AB28" s="105"/>
      <c r="AC28" s="28"/>
      <c r="AD28" s="27"/>
      <c r="AE28" s="105"/>
      <c r="AF28" s="28"/>
      <c r="AG28" s="27"/>
      <c r="AH28" s="105"/>
      <c r="AI28" s="28"/>
      <c r="AJ28" s="27"/>
      <c r="AK28" s="105"/>
      <c r="AL28" s="28"/>
      <c r="AM28" s="27"/>
      <c r="AN28" s="17"/>
      <c r="AO28" s="28"/>
      <c r="AP28" s="27"/>
      <c r="AQ28" s="17"/>
      <c r="AR28" s="28"/>
      <c r="AS28" s="27"/>
      <c r="AT28" s="17"/>
      <c r="AU28" s="106"/>
      <c r="AV28" s="111" t="s">
        <v>259</v>
      </c>
      <c r="AW28" s="82">
        <v>16.8</v>
      </c>
      <c r="AX28" s="28">
        <v>211</v>
      </c>
      <c r="AY28" s="27"/>
      <c r="AZ28" s="17"/>
      <c r="BA28" s="28"/>
      <c r="BB28" s="27"/>
      <c r="BC28" s="17"/>
      <c r="BD28" s="28"/>
      <c r="BE28" s="27"/>
      <c r="BF28" s="17"/>
      <c r="BG28" s="28"/>
      <c r="BH28" s="27"/>
      <c r="BI28" s="17"/>
      <c r="BJ28" s="28"/>
      <c r="BK28" s="27"/>
      <c r="BL28" s="17"/>
      <c r="BM28" s="28"/>
      <c r="BN28" s="27"/>
      <c r="BO28" s="17"/>
      <c r="BP28" s="28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3"/>
      <c r="CM28" s="63"/>
    </row>
    <row r="29" spans="1:91" ht="15">
      <c r="A29" s="90" t="s">
        <v>45</v>
      </c>
      <c r="B29" s="90" t="s">
        <v>46</v>
      </c>
      <c r="C29" s="90" t="s">
        <v>47</v>
      </c>
      <c r="D29" s="90"/>
      <c r="E29" s="90" t="s">
        <v>11</v>
      </c>
      <c r="F29" s="90"/>
      <c r="G29" s="90"/>
      <c r="H29" s="90"/>
      <c r="I29" s="2">
        <v>500</v>
      </c>
      <c r="J29" s="86">
        <v>14.65</v>
      </c>
      <c r="K29" s="57">
        <v>241</v>
      </c>
      <c r="L29" s="85" t="s">
        <v>258</v>
      </c>
      <c r="M29" s="85">
        <v>7.39</v>
      </c>
      <c r="N29" s="83">
        <v>414</v>
      </c>
      <c r="O29" s="84"/>
      <c r="P29" s="85"/>
      <c r="Q29" s="83"/>
      <c r="R29" s="33" t="s">
        <v>177</v>
      </c>
      <c r="S29" s="87">
        <v>15.49</v>
      </c>
      <c r="T29" s="88">
        <v>256</v>
      </c>
      <c r="U29" s="33"/>
      <c r="V29" s="17"/>
      <c r="W29" s="28"/>
      <c r="X29" s="27"/>
      <c r="Y29" s="105"/>
      <c r="Z29" s="28"/>
      <c r="AA29" s="27"/>
      <c r="AB29" s="105"/>
      <c r="AC29" s="28"/>
      <c r="AD29" s="27"/>
      <c r="AE29" s="105"/>
      <c r="AF29" s="28"/>
      <c r="AG29" s="27"/>
      <c r="AH29" s="105"/>
      <c r="AI29" s="28"/>
      <c r="AJ29" s="27"/>
      <c r="AK29" s="105"/>
      <c r="AL29" s="28"/>
      <c r="AM29" s="27"/>
      <c r="AN29" s="17"/>
      <c r="AO29" s="28"/>
      <c r="AP29" s="27"/>
      <c r="AQ29" s="17"/>
      <c r="AR29" s="28"/>
      <c r="AS29" s="27"/>
      <c r="AT29" s="17"/>
      <c r="AU29" s="106"/>
      <c r="AV29" s="82"/>
      <c r="AW29" s="82"/>
      <c r="AX29" s="28"/>
      <c r="AY29" s="27"/>
      <c r="AZ29" s="17"/>
      <c r="BA29" s="28"/>
      <c r="BB29" s="27"/>
      <c r="BC29" s="17"/>
      <c r="BD29" s="28"/>
      <c r="BE29" s="27"/>
      <c r="BF29" s="17"/>
      <c r="BG29" s="28"/>
      <c r="BH29" s="27"/>
      <c r="BI29" s="17"/>
      <c r="BJ29" s="28"/>
      <c r="BK29" s="27"/>
      <c r="BL29" s="17"/>
      <c r="BM29" s="28"/>
      <c r="BN29" s="27"/>
      <c r="BO29" s="17"/>
      <c r="BP29" s="28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3"/>
      <c r="CM29" s="63"/>
    </row>
    <row r="30" spans="1:91" ht="15">
      <c r="A30" s="90" t="s">
        <v>241</v>
      </c>
      <c r="B30" s="90" t="s">
        <v>242</v>
      </c>
      <c r="C30" s="90" t="s">
        <v>35</v>
      </c>
      <c r="D30" s="90"/>
      <c r="E30" s="90" t="s">
        <v>11</v>
      </c>
      <c r="F30" s="90"/>
      <c r="G30" s="90"/>
      <c r="H30" s="90"/>
      <c r="I30" s="2" t="s">
        <v>257</v>
      </c>
      <c r="J30" s="86">
        <v>30.5</v>
      </c>
      <c r="K30" s="57">
        <v>522</v>
      </c>
      <c r="L30" s="85"/>
      <c r="M30" s="85"/>
      <c r="N30" s="83"/>
      <c r="O30" s="84"/>
      <c r="P30" s="85"/>
      <c r="Q30" s="83"/>
      <c r="R30" s="33"/>
      <c r="S30" s="87"/>
      <c r="T30" s="88"/>
      <c r="U30" s="33"/>
      <c r="V30" s="17"/>
      <c r="W30" s="28"/>
      <c r="X30" s="27" t="s">
        <v>257</v>
      </c>
      <c r="Y30" s="105">
        <v>27.77</v>
      </c>
      <c r="Z30" s="28">
        <v>472</v>
      </c>
      <c r="AA30" s="27" t="s">
        <v>177</v>
      </c>
      <c r="AB30" s="105">
        <v>33.59</v>
      </c>
      <c r="AC30" s="28">
        <v>443</v>
      </c>
      <c r="AD30" s="27"/>
      <c r="AE30" s="105"/>
      <c r="AF30" s="28"/>
      <c r="AG30" s="27"/>
      <c r="AH30" s="105"/>
      <c r="AI30" s="28"/>
      <c r="AJ30" s="27"/>
      <c r="AK30" s="105"/>
      <c r="AL30" s="28"/>
      <c r="AM30" s="27"/>
      <c r="AN30" s="17"/>
      <c r="AO30" s="28"/>
      <c r="AP30" s="27"/>
      <c r="AQ30" s="17"/>
      <c r="AR30" s="28"/>
      <c r="AS30" s="27"/>
      <c r="AT30" s="17"/>
      <c r="AU30" s="106"/>
      <c r="AV30" s="111" t="s">
        <v>327</v>
      </c>
      <c r="AW30" s="82">
        <v>31.85</v>
      </c>
      <c r="AX30" s="28">
        <v>539</v>
      </c>
      <c r="AY30" s="27" t="s">
        <v>177</v>
      </c>
      <c r="AZ30" s="17">
        <v>28.66</v>
      </c>
      <c r="BA30" s="28">
        <v>375</v>
      </c>
      <c r="BB30" s="27"/>
      <c r="BC30" s="17"/>
      <c r="BD30" s="28"/>
      <c r="BE30" s="27"/>
      <c r="BF30" s="17"/>
      <c r="BG30" s="28"/>
      <c r="BH30" s="27"/>
      <c r="BI30" s="17"/>
      <c r="BJ30" s="28"/>
      <c r="BK30" s="27"/>
      <c r="BL30" s="17"/>
      <c r="BM30" s="28"/>
      <c r="BN30" s="27"/>
      <c r="BO30" s="17"/>
      <c r="BP30" s="28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3"/>
      <c r="CM30" s="63"/>
    </row>
    <row r="31" spans="1:91" ht="15">
      <c r="A31" s="90" t="s">
        <v>188</v>
      </c>
      <c r="B31" s="90" t="s">
        <v>189</v>
      </c>
      <c r="C31" s="90" t="s">
        <v>145</v>
      </c>
      <c r="D31" s="90"/>
      <c r="E31" s="90" t="s">
        <v>17</v>
      </c>
      <c r="F31" s="90"/>
      <c r="G31" s="90"/>
      <c r="H31" s="90"/>
      <c r="I31" s="2" t="s">
        <v>177</v>
      </c>
      <c r="J31" s="86">
        <v>14.77</v>
      </c>
      <c r="K31" s="57">
        <v>243</v>
      </c>
      <c r="L31" s="85" t="s">
        <v>258</v>
      </c>
      <c r="M31" s="85">
        <v>6.36</v>
      </c>
      <c r="N31" s="83">
        <v>352</v>
      </c>
      <c r="O31" s="84" t="s">
        <v>327</v>
      </c>
      <c r="P31" s="85">
        <v>18.31</v>
      </c>
      <c r="Q31" s="83"/>
      <c r="R31" s="33" t="s">
        <v>170</v>
      </c>
      <c r="S31" s="87">
        <v>6.24</v>
      </c>
      <c r="T31" s="88">
        <v>345</v>
      </c>
      <c r="U31" s="33" t="s">
        <v>177</v>
      </c>
      <c r="V31" s="17">
        <v>14.31</v>
      </c>
      <c r="W31" s="28">
        <v>235</v>
      </c>
      <c r="X31" s="27" t="s">
        <v>257</v>
      </c>
      <c r="Y31" s="105">
        <v>17.95</v>
      </c>
      <c r="Z31" s="28">
        <v>304</v>
      </c>
      <c r="AA31" s="27" t="s">
        <v>177</v>
      </c>
      <c r="AB31" s="105">
        <v>14.37</v>
      </c>
      <c r="AC31" s="28">
        <v>236</v>
      </c>
      <c r="AD31" s="27"/>
      <c r="AE31" s="105"/>
      <c r="AF31" s="28"/>
      <c r="AG31" s="27" t="s">
        <v>177</v>
      </c>
      <c r="AH31" s="105">
        <v>13</v>
      </c>
      <c r="AI31" s="28">
        <v>158</v>
      </c>
      <c r="AJ31" s="27" t="s">
        <v>257</v>
      </c>
      <c r="AK31" s="105">
        <v>18.14</v>
      </c>
      <c r="AL31" s="28">
        <v>307</v>
      </c>
      <c r="AM31" s="27" t="s">
        <v>170</v>
      </c>
      <c r="AN31" s="17">
        <v>6.26</v>
      </c>
      <c r="AO31" s="28">
        <v>346</v>
      </c>
      <c r="AP31" s="27"/>
      <c r="AQ31" s="17"/>
      <c r="AR31" s="28"/>
      <c r="AS31" s="27"/>
      <c r="AT31" s="17"/>
      <c r="AU31" s="106"/>
      <c r="AV31" s="111" t="s">
        <v>258</v>
      </c>
      <c r="AW31" s="82">
        <v>6.28</v>
      </c>
      <c r="AX31" s="28">
        <v>348</v>
      </c>
      <c r="AY31" s="27" t="s">
        <v>259</v>
      </c>
      <c r="AZ31" s="17">
        <v>14.18</v>
      </c>
      <c r="BA31" s="28">
        <v>232</v>
      </c>
      <c r="BB31" s="27"/>
      <c r="BC31" s="17"/>
      <c r="BD31" s="28"/>
      <c r="BE31" s="27" t="s">
        <v>327</v>
      </c>
      <c r="BF31" s="17">
        <v>19.15</v>
      </c>
      <c r="BG31" s="28">
        <v>325</v>
      </c>
      <c r="BH31" s="27"/>
      <c r="BI31" s="17"/>
      <c r="BJ31" s="28"/>
      <c r="BK31" s="27"/>
      <c r="BL31" s="17"/>
      <c r="BM31" s="28"/>
      <c r="BN31" s="27"/>
      <c r="BO31" s="17"/>
      <c r="BP31" s="28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3"/>
      <c r="CM31" s="63"/>
    </row>
    <row r="32" spans="1:91" ht="15">
      <c r="A32" s="90" t="s">
        <v>302</v>
      </c>
      <c r="B32" s="90" t="s">
        <v>303</v>
      </c>
      <c r="C32" s="90" t="s">
        <v>38</v>
      </c>
      <c r="D32" s="90"/>
      <c r="E32" s="90" t="s">
        <v>11</v>
      </c>
      <c r="F32" s="90"/>
      <c r="G32" s="90"/>
      <c r="H32" s="90"/>
      <c r="I32" s="2" t="s">
        <v>177</v>
      </c>
      <c r="J32" s="86">
        <v>31.13</v>
      </c>
      <c r="K32" s="57">
        <v>536</v>
      </c>
      <c r="L32" s="85" t="s">
        <v>258</v>
      </c>
      <c r="M32" s="85">
        <v>9</v>
      </c>
      <c r="N32" s="83">
        <v>510</v>
      </c>
      <c r="O32" s="84" t="s">
        <v>327</v>
      </c>
      <c r="P32" s="85">
        <v>27.54</v>
      </c>
      <c r="Q32" s="83">
        <v>478</v>
      </c>
      <c r="R32" s="33"/>
      <c r="S32" s="87"/>
      <c r="T32" s="88"/>
      <c r="U32" s="33"/>
      <c r="V32" s="17"/>
      <c r="W32" s="28"/>
      <c r="X32" s="27"/>
      <c r="Y32" s="105"/>
      <c r="Z32" s="28"/>
      <c r="AA32" s="27"/>
      <c r="AB32" s="105"/>
      <c r="AC32" s="28"/>
      <c r="AD32" s="27"/>
      <c r="AE32" s="105"/>
      <c r="AF32" s="28"/>
      <c r="AG32" s="27"/>
      <c r="AH32" s="105"/>
      <c r="AI32" s="28"/>
      <c r="AJ32" s="27"/>
      <c r="AK32" s="105"/>
      <c r="AL32" s="28"/>
      <c r="AM32" s="27"/>
      <c r="AN32" s="17"/>
      <c r="AO32" s="28"/>
      <c r="AP32" s="27"/>
      <c r="AQ32" s="17"/>
      <c r="AR32" s="28"/>
      <c r="AS32" s="27"/>
      <c r="AT32" s="17"/>
      <c r="AU32" s="106"/>
      <c r="AV32" s="111" t="s">
        <v>258</v>
      </c>
      <c r="AW32" s="82">
        <v>8.48</v>
      </c>
      <c r="AX32" s="28">
        <v>479</v>
      </c>
      <c r="AY32" s="27"/>
      <c r="AZ32" s="17"/>
      <c r="BA32" s="28"/>
      <c r="BB32" s="27"/>
      <c r="BC32" s="17"/>
      <c r="BD32" s="28"/>
      <c r="BE32" s="27" t="s">
        <v>407</v>
      </c>
      <c r="BF32" s="17">
        <v>24.33</v>
      </c>
      <c r="BG32" s="28">
        <v>419</v>
      </c>
      <c r="BH32" s="27"/>
      <c r="BI32" s="17"/>
      <c r="BJ32" s="28"/>
      <c r="BK32" s="27"/>
      <c r="BL32" s="17"/>
      <c r="BM32" s="28"/>
      <c r="BN32" s="27"/>
      <c r="BO32" s="17"/>
      <c r="BP32" s="28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3"/>
      <c r="CM32" s="63"/>
    </row>
    <row r="33" spans="1:91" ht="15">
      <c r="A33" s="90" t="s">
        <v>293</v>
      </c>
      <c r="B33" s="90" t="s">
        <v>52</v>
      </c>
      <c r="C33" s="90" t="s">
        <v>294</v>
      </c>
      <c r="D33" s="90"/>
      <c r="E33" s="90" t="s">
        <v>17</v>
      </c>
      <c r="F33" s="90"/>
      <c r="G33" s="90"/>
      <c r="H33" s="90"/>
      <c r="I33" s="2"/>
      <c r="J33" s="86"/>
      <c r="K33" s="57"/>
      <c r="L33" s="85"/>
      <c r="M33" s="85"/>
      <c r="N33" s="83"/>
      <c r="O33" s="84"/>
      <c r="P33" s="85"/>
      <c r="Q33" s="83"/>
      <c r="R33" s="33"/>
      <c r="S33" s="87"/>
      <c r="T33" s="88"/>
      <c r="U33" s="33"/>
      <c r="V33" s="17"/>
      <c r="W33" s="28"/>
      <c r="X33" s="27"/>
      <c r="Y33" s="105"/>
      <c r="Z33" s="28"/>
      <c r="AA33" s="27"/>
      <c r="AB33" s="105"/>
      <c r="AC33" s="28"/>
      <c r="AD33" s="27"/>
      <c r="AE33" s="105"/>
      <c r="AF33" s="28"/>
      <c r="AG33" s="27"/>
      <c r="AH33" s="105"/>
      <c r="AI33" s="28"/>
      <c r="AJ33" s="27" t="s">
        <v>177</v>
      </c>
      <c r="AK33" s="105">
        <v>14.57</v>
      </c>
      <c r="AL33" s="28">
        <v>239</v>
      </c>
      <c r="AM33" s="27"/>
      <c r="AN33" s="17"/>
      <c r="AO33" s="28"/>
      <c r="AP33" s="27"/>
      <c r="AQ33" s="17"/>
      <c r="AR33" s="28"/>
      <c r="AS33" s="27"/>
      <c r="AT33" s="17"/>
      <c r="AU33" s="106"/>
      <c r="AV33" s="82"/>
      <c r="AW33" s="82"/>
      <c r="AX33" s="28"/>
      <c r="AY33" s="27"/>
      <c r="AZ33" s="17"/>
      <c r="BA33" s="28"/>
      <c r="BB33" s="27"/>
      <c r="BC33" s="17"/>
      <c r="BD33" s="28"/>
      <c r="BE33" s="27"/>
      <c r="BF33" s="17"/>
      <c r="BG33" s="28"/>
      <c r="BH33" s="27"/>
      <c r="BI33" s="17"/>
      <c r="BJ33" s="28"/>
      <c r="BK33" s="27"/>
      <c r="BL33" s="17"/>
      <c r="BM33" s="304">
        <v>932</v>
      </c>
      <c r="BN33" s="27"/>
      <c r="BO33" s="17"/>
      <c r="BP33" s="28"/>
      <c r="BQ33">
        <f>COUNTA(BP33,#REF!,#REF!,#REF!,BM33,BJ33,BG33,BD33,BA33,AX33,#REF!,AR33,AO33,AL33,AI33,AF33,AC33,Z33,W33,#REF!)</f>
        <v>7</v>
      </c>
      <c r="BR33" s="65" t="e">
        <f>#REF!</f>
        <v>#REF!</v>
      </c>
      <c r="BS33" s="65">
        <f>W33</f>
        <v>0</v>
      </c>
      <c r="BT33" s="65">
        <f>Z33</f>
        <v>0</v>
      </c>
      <c r="BU33" s="65">
        <f>AC33</f>
        <v>0</v>
      </c>
      <c r="BV33" s="65">
        <f>AF33</f>
        <v>0</v>
      </c>
      <c r="BW33" s="65">
        <f>AI33</f>
        <v>0</v>
      </c>
      <c r="BX33" s="65">
        <f>AL33</f>
        <v>239</v>
      </c>
      <c r="BY33" s="65">
        <f>AO33</f>
        <v>0</v>
      </c>
      <c r="BZ33" s="65">
        <f>AR33</f>
        <v>0</v>
      </c>
      <c r="CA33" s="65" t="e">
        <f>#REF!</f>
        <v>#REF!</v>
      </c>
      <c r="CB33" s="65">
        <f>AX33</f>
        <v>0</v>
      </c>
      <c r="CC33" s="65">
        <f>BA33</f>
        <v>0</v>
      </c>
      <c r="CD33" s="65">
        <f>BD33</f>
        <v>0</v>
      </c>
      <c r="CE33" s="65">
        <f>BG33</f>
        <v>0</v>
      </c>
      <c r="CF33" s="65">
        <f>BJ33</f>
        <v>0</v>
      </c>
      <c r="CG33" s="65">
        <f>BM33</f>
        <v>932</v>
      </c>
      <c r="CH33" s="65" t="e">
        <f>#REF!</f>
        <v>#REF!</v>
      </c>
      <c r="CI33" s="65" t="e">
        <f>#REF!</f>
        <v>#REF!</v>
      </c>
      <c r="CJ33" s="65" t="e">
        <f>#REF!</f>
        <v>#REF!</v>
      </c>
      <c r="CK33" s="65">
        <f>BP33</f>
        <v>0</v>
      </c>
      <c r="CL33" s="63" t="e">
        <f>LARGE(BR33:CK33,1)</f>
        <v>#REF!</v>
      </c>
      <c r="CM33" s="63" t="e">
        <f>LARGE(BR33:CK33,2)</f>
        <v>#REF!</v>
      </c>
    </row>
    <row r="34" spans="1:91" ht="15">
      <c r="A34" s="90" t="s">
        <v>3</v>
      </c>
      <c r="B34" s="90" t="s">
        <v>100</v>
      </c>
      <c r="C34" s="90" t="s">
        <v>35</v>
      </c>
      <c r="D34" s="91"/>
      <c r="E34" s="90" t="s">
        <v>61</v>
      </c>
      <c r="F34" s="91"/>
      <c r="G34" s="90"/>
      <c r="H34" s="91"/>
      <c r="I34" s="2"/>
      <c r="J34" s="86"/>
      <c r="K34" s="57"/>
      <c r="N34" s="83"/>
      <c r="O34" s="84"/>
      <c r="P34" s="85"/>
      <c r="Q34" s="83"/>
      <c r="R34" s="89"/>
      <c r="S34" s="79"/>
      <c r="T34" s="88"/>
      <c r="U34" s="33"/>
      <c r="V34" s="17"/>
      <c r="W34" s="28"/>
      <c r="X34" s="27"/>
      <c r="Y34" s="105"/>
      <c r="Z34" s="28"/>
      <c r="AA34" s="27"/>
      <c r="AB34" s="105"/>
      <c r="AC34" s="28"/>
      <c r="AD34" s="27"/>
      <c r="AE34" s="105"/>
      <c r="AF34" s="28"/>
      <c r="AG34" s="27"/>
      <c r="AH34" s="105"/>
      <c r="AI34" s="32"/>
      <c r="AJ34" s="17"/>
      <c r="AK34" s="105"/>
      <c r="AL34" s="28"/>
      <c r="AM34" s="33"/>
      <c r="AN34" s="17"/>
      <c r="AO34" s="28"/>
      <c r="AP34" s="33"/>
      <c r="AQ34" s="17"/>
      <c r="AR34" s="28"/>
      <c r="AS34" s="33"/>
      <c r="AT34" s="17"/>
      <c r="AU34" s="106"/>
      <c r="AV34" s="111" t="s">
        <v>177</v>
      </c>
      <c r="AW34" s="82">
        <v>33.96</v>
      </c>
      <c r="AX34" s="28">
        <v>448</v>
      </c>
      <c r="AY34" s="33"/>
      <c r="AZ34" s="17"/>
      <c r="BA34" s="28"/>
      <c r="BB34" s="33"/>
      <c r="BC34" s="17"/>
      <c r="BD34" s="28"/>
      <c r="BE34" s="33"/>
      <c r="BF34" s="17"/>
      <c r="BG34" s="28"/>
      <c r="BH34" s="33"/>
      <c r="BI34" s="17"/>
      <c r="BJ34" s="28"/>
      <c r="BK34" s="33"/>
      <c r="BL34" s="17"/>
      <c r="BM34" s="28"/>
      <c r="BN34" s="33"/>
      <c r="BO34" s="17"/>
      <c r="BP34" s="28"/>
      <c r="BQ34">
        <f>COUNTA(BP34,#REF!,#REF!,#REF!,BM34,BJ34,BG34,BD34,BA34,AX34,#REF!,AR34,AO34,AL34,AI34,AF34,AC34,Z34,W34,#REF!)</f>
        <v>6</v>
      </c>
      <c r="BR34" s="65" t="e">
        <f>#REF!</f>
        <v>#REF!</v>
      </c>
      <c r="BS34" s="65">
        <f>W34</f>
        <v>0</v>
      </c>
      <c r="BT34" s="65">
        <f>Z34</f>
        <v>0</v>
      </c>
      <c r="BU34" s="65">
        <f>AC34</f>
        <v>0</v>
      </c>
      <c r="BV34" s="65">
        <f>AF34</f>
        <v>0</v>
      </c>
      <c r="BW34" s="65">
        <f>AI34</f>
        <v>0</v>
      </c>
      <c r="BX34" s="65">
        <f>AL34</f>
        <v>0</v>
      </c>
      <c r="BY34" s="65">
        <f>AO34</f>
        <v>0</v>
      </c>
      <c r="BZ34" s="65">
        <f>AR34</f>
        <v>0</v>
      </c>
      <c r="CA34" s="65" t="e">
        <f>#REF!</f>
        <v>#REF!</v>
      </c>
      <c r="CB34" s="65">
        <f>AX34</f>
        <v>448</v>
      </c>
      <c r="CC34" s="65">
        <f>BA34</f>
        <v>0</v>
      </c>
      <c r="CD34" s="65">
        <f>BD34</f>
        <v>0</v>
      </c>
      <c r="CE34" s="65">
        <f>BG34</f>
        <v>0</v>
      </c>
      <c r="CF34" s="65">
        <f>BJ34</f>
        <v>0</v>
      </c>
      <c r="CG34" s="65">
        <f>BM34</f>
        <v>0</v>
      </c>
      <c r="CH34" s="65" t="e">
        <f>#REF!</f>
        <v>#REF!</v>
      </c>
      <c r="CI34" s="65" t="e">
        <f>#REF!</f>
        <v>#REF!</v>
      </c>
      <c r="CJ34" s="65" t="e">
        <f>#REF!</f>
        <v>#REF!</v>
      </c>
      <c r="CK34" s="65">
        <f>BP34</f>
        <v>0</v>
      </c>
      <c r="CL34" s="63" t="e">
        <f>LARGE(BR34:CK34,1)</f>
        <v>#REF!</v>
      </c>
      <c r="CM34" s="63" t="e">
        <f>LARGE(BR34:CK34,2)</f>
        <v>#REF!</v>
      </c>
    </row>
    <row r="36" ht="15">
      <c r="A36" s="67" t="s">
        <v>32</v>
      </c>
    </row>
    <row r="37" ht="15">
      <c r="A37" s="67" t="s">
        <v>33</v>
      </c>
    </row>
    <row r="38" ht="15">
      <c r="A38" s="67" t="s">
        <v>31</v>
      </c>
    </row>
  </sheetData>
  <sheetProtection/>
  <mergeCells count="20">
    <mergeCell ref="I1:K1"/>
    <mergeCell ref="L1:N1"/>
    <mergeCell ref="R1:T1"/>
    <mergeCell ref="O1:Q1"/>
    <mergeCell ref="AY1:BA1"/>
    <mergeCell ref="AP1:AR1"/>
    <mergeCell ref="AJ1:AL1"/>
    <mergeCell ref="AM1:AO1"/>
    <mergeCell ref="AS1:AU1"/>
    <mergeCell ref="AV1:AX1"/>
    <mergeCell ref="BN1:BP1"/>
    <mergeCell ref="BB1:BD1"/>
    <mergeCell ref="BE1:BG1"/>
    <mergeCell ref="BH1:BJ1"/>
    <mergeCell ref="BK1:BM1"/>
    <mergeCell ref="U1:W1"/>
    <mergeCell ref="X1:Z1"/>
    <mergeCell ref="AA1:AC1"/>
    <mergeCell ref="AD1:AF1"/>
    <mergeCell ref="AG1:AI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BOYER</dc:creator>
  <cp:keywords/>
  <dc:description/>
  <cp:lastModifiedBy>titaua_maurin Juventin</cp:lastModifiedBy>
  <cp:lastPrinted>2016-04-08T00:26:23Z</cp:lastPrinted>
  <dcterms:created xsi:type="dcterms:W3CDTF">2015-12-31T22:24:21Z</dcterms:created>
  <dcterms:modified xsi:type="dcterms:W3CDTF">2017-10-02T06:37:22Z</dcterms:modified>
  <cp:category/>
  <cp:version/>
  <cp:contentType/>
  <cp:contentStatus/>
</cp:coreProperties>
</file>